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URCIA\"/>
    </mc:Choice>
  </mc:AlternateContent>
  <workbookProtection workbookAlgorithmName="SHA-512" workbookHashValue="gsYc6+0/miiriB0a9BUYydxW3hs8ujDGk5mktDEkody+j425nIC1Rn1xdvdUlMb/q0qCr8PVJnkoG+DfZP4X2Q==" workbookSaltValue="M00NAc2K2CTGsxvMU+nss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BF13" i="8" l="1"/>
  <c r="BE13" i="8"/>
  <c r="K12" i="12"/>
  <c r="E20" i="17"/>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<sst xmlns="http://schemas.openxmlformats.org/spreadsheetml/2006/main" count="2527" uniqueCount="1027">
  <si>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</si>
  <si>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</si>
  <si>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</si>
  <si>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</si>
  <si>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</si>
  <si>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</si>
  <si>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</si>
  <si>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</si>
  <si>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</si>
  <si>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</si>
  <si>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</si>
  <si>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</si>
  <si>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</si>
  <si>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</si>
  <si>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</si>
  <si>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</si>
  <si>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</si>
  <si>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</si>
  <si>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</si>
  <si>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</si>
  <si>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</si>
  <si>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</si>
  <si>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</si>
  <si>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</si>
  <si>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</si>
  <si>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</si>
  <si>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</si>
  <si>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</si>
  <si>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</si>
  <si>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</si>
  <si>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</si>
  <si>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</si>
  <si>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</si>
  <si>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</si>
  <si>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</si>
  <si>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</si>
  <si>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</si>
  <si>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</si>
  <si>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</si>
  <si>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</si>
  <si>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</si>
  <si>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</si>
  <si>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</si>
  <si>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</si>
  <si>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</si>
  <si>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</si>
  <si>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</si>
  <si>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</si>
  <si>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</si>
  <si>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</si>
  <si>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</si>
  <si>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</si>
  <si>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</si>
  <si>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</si>
  <si>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</si>
  <si>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</si>
  <si>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</si>
  <si>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</si>
  <si>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</si>
  <si>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</si>
  <si>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</si>
  <si>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</si>
  <si>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</si>
  <si>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</si>
  <si>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</si>
  <si>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</si>
  <si>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</si>
  <si>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</si>
  <si>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</si>
  <si>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</si>
  <si>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</si>
  <si>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</si>
  <si>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</si>
  <si>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</si>
  <si>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</si>
  <si>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</si>
  <si>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</si>
  <si>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</si>
  <si>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</si>
  <si>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</si>
  <si>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</si>
  <si>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</si>
  <si>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</si>
  <si>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</si>
  <si>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</si>
  <si>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</si>
  <si>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</si>
  <si>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</si>
  <si>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</si>
  <si>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</si>
  <si>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</si>
  <si>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</si>
  <si>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</si>
  <si>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</si>
  <si>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</si>
  <si>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</si>
  <si>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</si>
  <si>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</si>
  <si>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</si>
  <si>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</si>
  <si>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</si>
  <si>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</si>
  <si>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</si>
  <si>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</si>
  <si>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</si>
  <si>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</si>
  <si>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</si>
  <si>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</si>
  <si>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</si>
  <si>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</si>
  <si>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</si>
  <si>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</si>
  <si>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</si>
  <si>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</si>
  <si>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</si>
  <si>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</si>
  <si>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</si>
  <si>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</si>
  <si>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</si>
  <si>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</si>
  <si>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</si>
  <si>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</si>
  <si>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</si>
  <si>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</si>
  <si>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</si>
  <si>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</si>
  <si>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</si>
  <si>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</si>
  <si>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</si>
  <si>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</si>
  <si>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</si>
  <si>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</si>
  <si>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</si>
  <si>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</si>
  <si>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</si>
  <si>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</si>
  <si>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</si>
  <si>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</si>
  <si>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</si>
  <si>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</si>
  <si>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</si>
  <si>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</si>
  <si>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</si>
  <si>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</si>
  <si>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</si>
  <si>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</si>
  <si>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</si>
  <si>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</si>
  <si>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</si>
  <si>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</si>
  <si>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</si>
  <si>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</si>
  <si>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</si>
  <si>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</si>
  <si>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</si>
  <si>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</si>
  <si>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</si>
  <si>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</si>
  <si>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</si>
  <si>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</si>
  <si>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</si>
  <si>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</si>
  <si>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</si>
  <si>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</si>
  <si>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</si>
  <si>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</si>
  <si>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</si>
  <si>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</si>
  <si>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</si>
  <si>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</si>
  <si>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</si>
  <si>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</si>
  <si>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</si>
  <si>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</si>
  <si>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</si>
  <si>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</si>
  <si>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</si>
  <si>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</si>
  <si>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</si>
  <si>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</si>
  <si>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</si>
  <si>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</si>
  <si>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</si>
  <si>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</si>
  <si>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</si>
  <si>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</si>
  <si>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</si>
  <si>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</si>
  <si>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</si>
  <si>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</si>
  <si>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</si>
  <si>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</si>
  <si>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</si>
  <si>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</si>
  <si>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</si>
  <si>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</si>
  <si>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</si>
  <si>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</si>
  <si>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</si>
  <si>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</si>
  <si>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</si>
  <si>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</si>
  <si>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</si>
  <si>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</si>
  <si>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</si>
  <si>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</si>
  <si>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</si>
  <si>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</si>
  <si>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</si>
  <si>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</si>
  <si>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</si>
  <si>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</si>
  <si>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</si>
  <si>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</si>
  <si>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</si>
  <si>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</si>
  <si>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</si>
  <si>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</si>
  <si>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</si>
  <si>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</si>
  <si>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</si>
  <si>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</si>
  <si>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</si>
  <si>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</si>
  <si>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</si>
  <si>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</si>
  <si>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</si>
  <si>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</si>
  <si>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</si>
  <si>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</si>
  <si>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</si>
  <si>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</si>
  <si>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</si>
  <si>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</si>
  <si>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</si>
  <si>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</si>
  <si>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</si>
  <si>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</si>
  <si>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</si>
  <si>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</si>
  <si>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</si>
  <si>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</si>
  <si>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</si>
  <si>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</si>
  <si>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</si>
  <si>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</si>
  <si>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</si>
  <si>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</si>
  <si>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</si>
  <si>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</si>
  <si>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</si>
  <si>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</si>
  <si>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</si>
  <si>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</si>
  <si>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</si>
  <si>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</si>
  <si>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</si>
  <si>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</si>
  <si>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</si>
  <si>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</si>
  <si>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</si>
  <si>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</si>
  <si>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</si>
  <si>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</si>
  <si>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</si>
  <si>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</si>
  <si>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</si>
  <si>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</si>
  <si>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</si>
  <si>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</si>
  <si>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</si>
  <si>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</si>
  <si>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</si>
  <si>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</si>
  <si>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</si>
  <si>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</si>
  <si>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</si>
  <si>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</si>
  <si>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</si>
  <si>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</si>
  <si>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</si>
  <si>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</si>
  <si>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</si>
  <si>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</si>
  <si>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</si>
  <si>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</si>
  <si>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</si>
  <si>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</si>
  <si>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</si>
  <si>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</si>
  <si>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</si>
  <si>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</si>
  <si>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</si>
  <si>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</si>
  <si>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</si>
  <si>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</si>
  <si>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</si>
  <si>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</si>
  <si>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</si>
  <si>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</si>
  <si>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</si>
  <si>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</si>
  <si>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</si>
  <si>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</si>
  <si>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</si>
  <si>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</si>
  <si>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</si>
  <si>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</si>
  <si>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</si>
  <si>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</si>
  <si>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</si>
  <si>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</si>
  <si>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</si>
  <si>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</si>
  <si>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</si>
  <si>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</si>
  <si>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</si>
  <si>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</si>
  <si>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</si>
  <si>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</si>
  <si>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</si>
  <si>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</si>
  <si>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</si>
  <si>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</si>
  <si>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</si>
  <si>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</si>
  <si>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</si>
  <si>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</si>
  <si>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</si>
  <si>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</si>
  <si>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</si>
  <si>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</si>
  <si>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</si>
  <si>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</si>
  <si>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</si>
  <si>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</si>
  <si>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</si>
  <si>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</si>
  <si>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</si>
  <si>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</si>
  <si>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</si>
  <si>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</si>
  <si>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</si>
  <si>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</si>
  <si>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</si>
  <si>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</si>
  <si>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</si>
  <si>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</si>
  <si>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</si>
  <si>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</si>
  <si>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</si>
  <si>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</si>
  <si>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</si>
  <si>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</si>
  <si>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</si>
  <si>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</si>
  <si>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</si>
  <si>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</si>
  <si>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</si>
  <si>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</si>
  <si>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</si>
  <si>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</si>
  <si>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</si>
  <si>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</si>
  <si>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</si>
  <si>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</si>
  <si>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</si>
  <si>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</si>
  <si>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</si>
  <si>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</si>
  <si>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</si>
  <si>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</si>
  <si>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</si>
  <si>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</si>
  <si>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</si>
  <si>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</si>
  <si>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</si>
  <si>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</si>
  <si>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</si>
  <si>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</si>
  <si>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</si>
  <si>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</si>
  <si>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</si>
  <si>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</si>
  <si>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</si>
  <si>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</si>
  <si>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</si>
  <si>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</si>
  <si>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</si>
  <si>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</si>
  <si>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</si>
  <si>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</si>
  <si>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</si>
  <si>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</si>
  <si>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</si>
  <si>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</si>
  <si>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</si>
  <si>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</si>
  <si>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</si>
  <si>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</si>
  <si>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</si>
  <si>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</si>
  <si>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</si>
  <si>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</si>
  <si>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</si>
  <si>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</si>
  <si>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</si>
  <si>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</si>
  <si>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</si>
  <si>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</si>
  <si>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</si>
  <si>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</si>
  <si>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</si>
  <si>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</si>
  <si>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</si>
  <si>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</si>
  <si>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</si>
  <si>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</si>
  <si>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</si>
  <si>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</si>
  <si>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</si>
  <si>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</si>
  <si>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</si>
  <si>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</si>
  <si>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</si>
  <si>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</si>
  <si>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</si>
  <si>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</si>
  <si>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</si>
  <si>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</si>
  <si>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</si>
  <si>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</si>
  <si>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</si>
  <si>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</si>
  <si>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</si>
  <si>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</si>
  <si>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</si>
  <si>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</si>
  <si>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</si>
  <si>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</si>
  <si>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</si>
  <si>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</si>
  <si>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</si>
  <si>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</si>
  <si>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</si>
  <si>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</si>
  <si>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</si>
  <si>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</si>
  <si>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</si>
  <si>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</si>
  <si>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</si>
  <si>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</si>
  <si>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</si>
  <si>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</si>
  <si>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</si>
  <si>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</si>
  <si>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</si>
  <si>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</si>
  <si>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</si>
  <si>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</si>
  <si>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</si>
  <si>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</si>
  <si>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</si>
  <si>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</si>
  <si>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</si>
  <si>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</si>
  <si>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</si>
  <si>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</si>
  <si>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</si>
  <si>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</si>
  <si>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</si>
  <si>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</si>
  <si>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</si>
  <si>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</si>
  <si>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</si>
  <si>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</si>
  <si>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</si>
  <si>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</si>
  <si>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</si>
  <si>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</si>
  <si>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</si>
  <si>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</si>
  <si>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</si>
  <si>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</si>
  <si>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</si>
  <si>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</si>
  <si>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</si>
  <si>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</si>
  <si>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</si>
  <si>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</si>
  <si>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</si>
  <si>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</si>
  <si>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</si>
  <si>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</si>
  <si>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</si>
  <si>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</si>
  <si>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</si>
  <si>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</si>
  <si>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</si>
  <si>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</si>
  <si>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</si>
  <si>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</si>
  <si>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</si>
  <si>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</si>
  <si>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</si>
  <si>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</si>
  <si>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</si>
  <si>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</si>
  <si>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</si>
  <si>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</si>
  <si>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</si>
  <si>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</si>
  <si>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</si>
  <si>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</si>
  <si>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</si>
  <si>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</si>
  <si>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</si>
  <si>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</si>
  <si>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</si>
  <si>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</si>
  <si>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</si>
  <si>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</si>
  <si>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</si>
  <si>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</si>
  <si>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</si>
  <si>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</si>
  <si>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</si>
  <si>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</si>
  <si>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</si>
  <si>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</si>
  <si>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</si>
  <si>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</si>
  <si>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</si>
  <si>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</si>
  <si>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</si>
  <si>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</si>
  <si>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</si>
  <si>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</si>
  <si>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</si>
  <si>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</si>
  <si>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</si>
  <si>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</si>
  <si>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</si>
  <si>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</si>
  <si>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</si>
  <si>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</si>
  <si>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</si>
  <si>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</si>
  <si>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</si>
  <si>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</si>
  <si>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</si>
  <si>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</si>
  <si>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</si>
  <si>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</si>
  <si>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</si>
  <si>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</si>
  <si>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</si>
  <si>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</si>
  <si>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</si>
  <si>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</si>
  <si>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</si>
  <si>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</si>
  <si>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</si>
  <si>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</si>
  <si>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</si>
  <si>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</si>
  <si>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</si>
  <si>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</si>
  <si>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</si>
  <si>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</si>
  <si>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</si>
  <si>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</si>
  <si>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</si>
  <si>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</si>
  <si>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</si>
  <si>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</si>
  <si>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</si>
  <si>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</si>
  <si>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</si>
  <si>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</si>
  <si>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</si>
  <si>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</si>
  <si>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</si>
  <si>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</si>
  <si>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</si>
  <si>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</si>
  <si>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</si>
  <si>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</si>
  <si>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</si>
  <si>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</si>
  <si>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</si>
  <si>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</si>
  <si>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</si>
  <si>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</si>
  <si>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</si>
  <si>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</si>
  <si>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</si>
  <si>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</si>
  <si>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</si>
  <si>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</si>
  <si>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</si>
  <si>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</si>
  <si>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</si>
  <si>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</si>
  <si>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</si>
  <si>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</si>
  <si>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</si>
  <si>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</si>
  <si>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</si>
  <si>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</si>
  <si>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</si>
  <si>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</si>
  <si>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</si>
  <si>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</si>
  <si>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</si>
  <si>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</si>
  <si>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</si>
  <si>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</si>
  <si>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</si>
  <si>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</si>
  <si>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</si>
  <si>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</si>
  <si>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</si>
  <si>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</si>
  <si>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</si>
  <si>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</si>
  <si>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</si>
  <si>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</si>
  <si>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</si>
  <si>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</si>
  <si>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</si>
  <si>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</si>
  <si>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</si>
  <si>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</si>
  <si>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</si>
  <si>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</si>
  <si>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</si>
  <si>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</si>
  <si>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</si>
  <si>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</si>
  <si>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</si>
  <si>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</si>
  <si>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</si>
  <si>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</si>
  <si>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</si>
  <si>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</si>
  <si>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</si>
  <si>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</si>
  <si>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</si>
  <si>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</si>
  <si>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</si>
  <si>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</si>
  <si>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</si>
  <si>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</si>
  <si>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</si>
  <si>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</si>
  <si>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</si>
  <si>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</si>
  <si>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</si>
  <si>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</si>
  <si>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</si>
  <si>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</si>
  <si>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</si>
  <si>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</si>
  <si>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</si>
  <si>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</si>
  <si>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</si>
  <si>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</si>
  <si>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</si>
  <si>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</si>
  <si>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</si>
  <si>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</si>
  <si>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</si>
  <si>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</si>
  <si>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</si>
  <si>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</si>
  <si>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</si>
  <si>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</si>
  <si>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</si>
  <si>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</si>
  <si>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</si>
  <si>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</si>
  <si>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</si>
  <si>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</si>
  <si>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</si>
  <si>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</si>
  <si>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</si>
  <si>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</si>
  <si>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</si>
  <si>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</si>
  <si>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</si>
  <si>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</si>
  <si>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</si>
  <si>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</si>
  <si>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</si>
  <si>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</si>
  <si>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</si>
  <si>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</si>
  <si>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</si>
  <si>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</si>
  <si>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</si>
  <si>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</si>
  <si>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</si>
  <si>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</si>
  <si>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</si>
  <si>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</si>
  <si>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</si>
  <si>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</si>
  <si>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</si>
  <si>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</si>
  <si>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</si>
  <si>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</si>
  <si>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</si>
  <si>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</si>
  <si>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</si>
  <si>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</si>
  <si>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</si>
  <si>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</si>
  <si>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</si>
  <si>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</si>
  <si>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</si>
  <si>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</si>
  <si>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</si>
  <si>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</si>
  <si>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</si>
  <si>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</si>
  <si>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</si>
  <si>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</si>
  <si>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</si>
  <si>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</si>
  <si>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</si>
  <si>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</si>
  <si>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</si>
  <si>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</si>
  <si>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</si>
  <si>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</si>
  <si>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</si>
  <si>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</si>
  <si>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</si>
  <si>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</si>
  <si>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</si>
  <si>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</si>
  <si>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</si>
  <si>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</si>
  <si>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</si>
  <si>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</si>
  <si>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</si>
  <si>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</si>
  <si>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</si>
  <si>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</si>
  <si>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</si>
  <si>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</si>
  <si>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</si>
  <si>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</si>
  <si>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</si>
  <si>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</si>
  <si>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</si>
  <si>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</si>
  <si>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</si>
  <si>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</si>
  <si>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</si>
  <si>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</si>
  <si>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</si>
  <si>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</si>
  <si>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</si>
  <si>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</si>
  <si>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</si>
  <si>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</si>
  <si>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</si>
  <si>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</si>
  <si>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</si>
  <si>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</si>
  <si>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</si>
  <si>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</si>
  <si>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</si>
  <si>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</si>
  <si>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</si>
  <si>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</si>
  <si>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</si>
  <si>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</si>
  <si>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</si>
  <si>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</si>
  <si>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</si>
  <si>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</si>
  <si>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</si>
  <si>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</si>
  <si>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</si>
  <si>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</si>
  <si>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</si>
  <si>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</si>
  <si>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</si>
  <si>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</si>
  <si>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</si>
  <si>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</si>
  <si>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</si>
  <si>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</si>
  <si>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</si>
  <si>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</si>
  <si>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</si>
  <si>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</si>
  <si>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</si>
  <si>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</si>
  <si>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</si>
  <si>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</si>
  <si>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</si>
  <si>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</si>
  <si>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</si>
  <si>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</si>
  <si>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</si>
  <si>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</si>
  <si>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</si>
  <si>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</si>
  <si>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</si>
  <si>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</si>
  <si>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</si>
  <si>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</si>
  <si>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</si>
  <si>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</si>
  <si>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</si>
  <si>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</si>
  <si>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</si>
  <si>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</si>
  <si>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</si>
  <si>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</si>
  <si>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</si>
  <si>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</si>
  <si>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</si>
  <si>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</si>
  <si>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</si>
  <si>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</si>
  <si>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</si>
  <si>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</si>
  <si>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</si>
  <si>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</si>
  <si>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</si>
  <si>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</si>
  <si>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</si>
  <si>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</si>
  <si>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</si>
  <si>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</si>
  <si>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</si>
  <si>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</si>
  <si>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</si>
  <si>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</si>
  <si>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</si>
  <si>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</si>
  <si>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</si>
  <si>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</si>
  <si>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</si>
  <si>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</si>
  <si>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</si>
  <si>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</si>
  <si>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</si>
  <si>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</si>
  <si>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</si>
  <si>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</si>
  <si>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</si>
  <si>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</si>
  <si>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</si>
  <si>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</si>
  <si>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</si>
  <si>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</si>
  <si>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</si>
  <si>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</si>
  <si>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</si>
  <si>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</si>
  <si>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</si>
  <si>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</si>
  <si>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</si>
  <si>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</si>
  <si>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</si>
  <si>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</si>
  <si>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</si>
  <si>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</si>
  <si>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</si>
  <si>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</si>
  <si>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</si>
  <si>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</si>
  <si>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</si>
  <si>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</si>
  <si>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</si>
  <si>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</si>
  <si>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</si>
  <si>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</si>
  <si>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</si>
  <si>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</si>
  <si>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</si>
  <si>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</si>
  <si>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</si>
  <si>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</si>
  <si>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</si>
  <si>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</si>
  <si>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</si>
  <si>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</si>
  <si>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</si>
  <si>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</si>
  <si>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</si>
  <si>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</si>
  <si>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</si>
  <si>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</si>
  <si>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</si>
  <si>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</si>
  <si>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</si>
  <si>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</si>
  <si>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</si>
  <si>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</si>
  <si>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</si>
  <si>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</si>
  <si>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</si>
  <si>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</si>
  <si>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</si>
  <si>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</si>
  <si>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</si>
  <si>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</si>
  <si>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</si>
  <si>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</si>
  <si>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</si>
  <si>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</si>
  <si>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</si>
  <si>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</si>
  <si>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</si>
  <si>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</si>
  <si>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</si>
  <si>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</si>
  <si>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</si>
  <si>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</si>
  <si>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</si>
  <si>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</si>
  <si>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</si>
  <si>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</si>
  <si>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</si>
  <si>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</si>
  <si>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</si>
  <si>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</si>
  <si>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</si>
  <si>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</si>
  <si>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</si>
  <si>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</si>
  <si>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</si>
  <si>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</si>
  <si>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</si>
  <si>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</si>
  <si>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</si>
  <si>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</si>
  <si>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</si>
  <si>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</si>
  <si>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</si>
  <si>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</si>
  <si>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</si>
  <si>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</si>
  <si>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</si>
  <si>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</si>
  <si>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</si>
  <si>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</si>
  <si>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</si>
  <si>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</si>
  <si>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</si>
  <si>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</si>
  <si>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</si>
  <si>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</si>
  <si>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</si>
  <si>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</si>
  <si>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</si>
  <si>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</si>
  <si>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</si>
  <si>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</si>
  <si>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</si>
  <si>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</si>
  <si>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</si>
  <si>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</si>
  <si>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</si>
  <si>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</si>
  <si>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</si>
  <si>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</si>
  <si>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</si>
  <si>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</si>
  <si>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</si>
  <si>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</si>
  <si>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</si>
  <si>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</si>
  <si>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</si>
  <si>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</si>
  <si>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</si>
  <si>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</si>
  <si>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</si>
  <si>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</si>
  <si>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</si>
  <si>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</si>
  <si>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</si>
  <si>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</si>
  <si>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</si>
  <si>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</si>
  <si>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</si>
  <si>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</si>
  <si>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</si>
  <si>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</si>
  <si>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</si>
  <si>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</si>
  <si>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</si>
  <si>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</si>
  <si>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</si>
  <si>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</si>
  <si>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</si>
  <si>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</si>
  <si>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</si>
  <si>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</si>
  <si>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</si>
  <si>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</si>
  <si>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</si>
  <si>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</si>
  <si>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</si>
  <si>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</si>
  <si>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</si>
  <si>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</si>
  <si>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</si>
  <si>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</si>
  <si>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</si>
  <si>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</si>
  <si>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</si>
  <si>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</si>
  <si>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</si>
  <si>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</si>
  <si>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REGION DE MURCIA</t>
  </si>
  <si>
    <t>Provincias</t>
  </si>
  <si>
    <t>MURCIA</t>
  </si>
  <si>
    <t>Resumenes por Partidos Judiciales</t>
  </si>
  <si>
    <t>SAN JAVIER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</si>
</sst>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kcu5L+QR2jFlRboZ0vLk2hbV3nr1YpBivfq1wSY717TSOKfPKACW0TxSe7s17D5F8sBazEnacPIfJO23xnDchg==" saltValue="IF3sgN6k6V7965sRfWVg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REGION DE MURCIA</v>
      </c>
      <c r="C2" s="374"/>
      <c r="D2" s="374"/>
      <c r="E2" s="374"/>
      <c r="F2" s="374"/>
    </row>
    <row r="3" spans="1:69" ht="19.5">
      <c r="A3" s="389" t="s">
        <v>115</v>
      </c>
      <c r="B3" s="390" t="str">
        <f>Criterios!A10 &amp;"  "&amp;Criterios!B10</f>
        <v>Provincias  MURCIA</v>
      </c>
      <c r="D3" s="374"/>
      <c r="E3" s="374"/>
      <c r="F3" s="374"/>
      <c r="BQ3" s="470"/>
    </row>
    <row r="4" spans="1:69" ht="13.5" thickBot="1">
      <c r="A4" s="374"/>
      <c r="B4" s="390" t="str">
        <f>Criterios!A11 &amp;"  "&amp;Criterios!B11</f>
        <v>Resumenes por Partidos Judiciales  SAN JAVIER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107</v>
      </c>
      <c r="D10" s="403">
        <f>IF(ISNUMBER(C10/Datos!BH10),C10/Datos!BH10," - ")</f>
        <v>107</v>
      </c>
      <c r="E10" s="402">
        <f>IF(ISNUMBER(Datos!J10),Datos!J10," - ")</f>
        <v>21</v>
      </c>
      <c r="F10" s="403">
        <f>IF(ISNUMBER(E10/B10),E10/B10," - ")</f>
        <v>21</v>
      </c>
      <c r="G10" s="402">
        <f>IF(ISNUMBER(Datos!K10),Datos!K10," - ")</f>
        <v>24</v>
      </c>
      <c r="H10" s="403">
        <f>IF(ISNUMBER(G10/B10),G10/B10," - ")</f>
        <v>24</v>
      </c>
      <c r="I10" s="402">
        <f>IF(ISNUMBER(Datos!L10),Datos!L10," - ")</f>
        <v>104</v>
      </c>
      <c r="J10" s="403">
        <f>IF(ISNUMBER(I10/B10),I10/B10," - ")</f>
        <v>104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8034</v>
      </c>
      <c r="D12" s="403">
        <f>IF(ISNUMBER(C12/Datos!BH12),C12/Datos!BH12," - ")</f>
        <v>1147.7142857142858</v>
      </c>
      <c r="E12" s="402">
        <f>IF(ISNUMBER(IF(J_V="SI",Datos!J12,Datos!J12+Datos!Z12)),IF(J_V="SI",Datos!J12,Datos!J12+Datos!Z12)," - ")</f>
        <v>1717</v>
      </c>
      <c r="F12" s="403">
        <f>IF(ISNUMBER(E12/B12),E12/B12," - ")</f>
        <v>245.28571428571428</v>
      </c>
      <c r="G12" s="402">
        <f>IF(ISNUMBER(IF(J_V="SI",Datos!K12,Datos!K12+Datos!AA12)),IF(J_V="SI",Datos!K12,Datos!K12+Datos!AA12)," - ")</f>
        <v>1688</v>
      </c>
      <c r="H12" s="403">
        <f>IF(ISNUMBER(G12/B12),G12/B12," - ")</f>
        <v>241.14285714285714</v>
      </c>
      <c r="I12" s="402">
        <f>IF(ISNUMBER(IF(J_V="SI",Datos!L12,Datos!L12+Datos!AB12)),IF(J_V="SI",Datos!L12,Datos!L12+Datos!AB12)," - ")</f>
        <v>8063</v>
      </c>
      <c r="J12" s="403">
        <f>IF(ISNUMBER(I12/B12),I12/B12," - ")</f>
        <v>1151.8571428571429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8141</v>
      </c>
      <c r="D13" s="847" t="str">
        <f>IF(ISNUMBER(C13/Datos!BI13),C13/Datos!BI13," - ")</f>
        <v xml:space="preserve"> - </v>
      </c>
      <c r="E13" s="846">
        <f>SUBTOTAL(9,E8:E12)</f>
        <v>1738</v>
      </c>
      <c r="F13" s="847">
        <f>IF(ISNUMBER(E13/B13),E13/B13," - ")</f>
        <v>248.28571428571428</v>
      </c>
      <c r="G13" s="846">
        <f>SUBTOTAL(9,G8:G12)</f>
        <v>1712</v>
      </c>
      <c r="H13" s="847">
        <f>IF(ISNUMBER(G13/B13),G13/B13," - ")</f>
        <v>244.57142857142858</v>
      </c>
      <c r="I13" s="846">
        <f>SUBTOTAL(9,I8:I12)</f>
        <v>8167</v>
      </c>
      <c r="J13" s="847">
        <f>IF(ISNUMBER(I13/B13),I13/B13," - ")</f>
        <v>1166.7142857142858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4943</v>
      </c>
      <c r="D17" s="403">
        <f>IF(ISNUMBER(C17/Datos!BH17),C17/Datos!BH17," - ")</f>
        <v>706.14285714285711</v>
      </c>
      <c r="E17" s="402">
        <f>IF(ISNUMBER(IF(D_I="SI",Datos!J17,Datos!J17+Datos!AD17)),IF(D_I="SI",Datos!J17,Datos!J17+Datos!AD17)," - ")</f>
        <v>2264</v>
      </c>
      <c r="F17" s="403">
        <f>IF(ISNUMBER(E17/B17),E17/B17," - ")</f>
        <v>323.42857142857144</v>
      </c>
      <c r="G17" s="402">
        <f>IF(ISNUMBER(IF(D_I="SI",Datos!K17,Datos!K17+Datos!AE17)),IF(D_I="SI",Datos!K17,Datos!K17+Datos!AE17)," - ")</f>
        <v>2305</v>
      </c>
      <c r="H17" s="403">
        <f>IF(ISNUMBER(G17/B17),G17/B17," - ")</f>
        <v>329.28571428571428</v>
      </c>
      <c r="I17" s="402">
        <f>IF(ISNUMBER(IF(D_I="SI",Datos!L17,Datos!L17+Datos!AF17)),IF(D_I="SI",Datos!L17,Datos!L17+Datos!AF17)," - ")</f>
        <v>4951</v>
      </c>
      <c r="J17" s="403">
        <f>IF(ISNUMBER(I17/B17),I17/B17," - ")</f>
        <v>707.28571428571433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366</v>
      </c>
      <c r="D18" s="403">
        <f>IF(ISNUMBER(C18/Datos!BH18),C18/Datos!BH18," - ")</f>
        <v>366</v>
      </c>
      <c r="E18" s="402">
        <f>IF(ISNUMBER(IF(D_I="SI",Datos!J18,Datos!J18+Datos!AD18)),IF(D_I="SI",Datos!J18,Datos!J18+Datos!AD18)," - ")</f>
        <v>158</v>
      </c>
      <c r="F18" s="403">
        <f>IF(ISNUMBER(E18/B18),E18/B18," - ")</f>
        <v>158</v>
      </c>
      <c r="G18" s="402">
        <f>IF(ISNUMBER(IF(D_I="SI",Datos!K18,Datos!K18+Datos!AE18)),IF(D_I="SI",Datos!K18,Datos!K18+Datos!AE18)," - ")</f>
        <v>199</v>
      </c>
      <c r="H18" s="403">
        <f>IF(ISNUMBER(G18/B18),G18/B18," - ")</f>
        <v>199</v>
      </c>
      <c r="I18" s="402">
        <f>IF(ISNUMBER(IF(D_I="SI",Datos!L18,Datos!L18+Datos!AF18)),IF(D_I="SI",Datos!L18,Datos!L18+Datos!AF18)," - ")</f>
        <v>337</v>
      </c>
      <c r="J18" s="403">
        <f>IF(ISNUMBER(I18/B18),I18/B18," - ")</f>
        <v>337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5309</v>
      </c>
      <c r="D19" s="847" t="str">
        <f>IF(ISNUMBER(C19/Datos!BI19),C19/Datos!BI19," - ")</f>
        <v xml:space="preserve"> - </v>
      </c>
      <c r="E19" s="846">
        <f>SUBTOTAL(9,E14:E18)</f>
        <v>2422</v>
      </c>
      <c r="F19" s="847">
        <f>IF(ISNUMBER(E19/B19),E19/B19," - ")</f>
        <v>346</v>
      </c>
      <c r="G19" s="846">
        <f>SUBTOTAL(9,G14:G18)</f>
        <v>2504</v>
      </c>
      <c r="H19" s="847">
        <f>IF(ISNUMBER(G19/B19),G19/B19," - ")</f>
        <v>357.71428571428572</v>
      </c>
      <c r="I19" s="846">
        <f>SUBTOTAL(9,I14:I18)</f>
        <v>5288</v>
      </c>
      <c r="J19" s="847">
        <f>IF(ISNUMBER(I19/B19),I19/B19," - ")</f>
        <v>755.42857142857144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7</v>
      </c>
      <c r="C20" s="791">
        <f>SUBTOTAL(9,C9:C19)</f>
        <v>13450</v>
      </c>
      <c r="D20" s="792" t="str">
        <f>IF(ISNUMBER(C20/Datos!BI20),C20/Datos!BI20," - ")</f>
        <v xml:space="preserve"> - </v>
      </c>
      <c r="E20" s="791">
        <f>SUBTOTAL(9,E9:E19)</f>
        <v>4160</v>
      </c>
      <c r="F20" s="792">
        <f>IF(ISNUMBER(E20/B20),E20/B20," - ")</f>
        <v>594.28571428571433</v>
      </c>
      <c r="G20" s="791">
        <f>SUBTOTAL(9,G9:G19)</f>
        <v>4216</v>
      </c>
      <c r="H20" s="792">
        <f>IF(ISNUMBER(G20/B20),G20/B20," - ")</f>
        <v>602.28571428571433</v>
      </c>
      <c r="I20" s="791">
        <f>SUBTOTAL(9,I9:I19)</f>
        <v>13455</v>
      </c>
      <c r="J20" s="792">
        <f>IF(ISNUMBER(I20/B20),I20/B20," - ")</f>
        <v>1922.1428571428571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D4umSjX4eqx8oI/ldG1aNKSl/exG6mXVdTHaUr/qcutf90nbyjs8hNtCaED7zJQKqM+0Lze7zo5XEdMl3ceng==" saltValue="xPnZTEPUweFYEfR98pqk+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REGION DE MURCIA</v>
      </c>
      <c r="C2" s="374"/>
      <c r="E2" s="374"/>
      <c r="F2" s="374"/>
      <c r="G2" s="374"/>
      <c r="H2" s="374"/>
    </row>
    <row r="3" spans="1:15" ht="39">
      <c r="A3" s="414" t="s">
        <v>219</v>
      </c>
      <c r="B3" s="390" t="str">
        <f>Criterios!A10 &amp;"  "&amp;Criterios!B10</f>
        <v>Provincias  MURCIA</v>
      </c>
      <c r="C3" s="414"/>
      <c r="F3" s="374"/>
      <c r="G3" s="374"/>
      <c r="H3" s="374"/>
    </row>
    <row r="4" spans="1:15" ht="13.5" thickBot="1">
      <c r="A4" s="374"/>
      <c r="B4" s="390" t="str">
        <f>Criterios!A11 &amp;"  "&amp;Criterios!B11</f>
        <v>Resumenes por Partidos Judiciales  SAN JAVIER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p+FYeUhUSWbrQ2coiC5AnqZQMGK5ldOFR6BgsR3pGZM1U1Qt4GiI9qGL9vnQpXh16pLayXoL2D95d5x7WSsug==" saltValue="kjxKbPtnFMU46AbbTNUkb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REGION DE MURCIA</v>
      </c>
      <c r="C2" s="390"/>
    </row>
    <row r="3" spans="1:78" ht="19.5">
      <c r="A3" s="424" t="s">
        <v>11</v>
      </c>
      <c r="B3" s="390" t="str">
        <f>Criterios!A10 &amp;"  "&amp;Criterios!B10</f>
        <v>Provincias  MURCIA</v>
      </c>
      <c r="C3" s="390"/>
      <c r="D3" s="424"/>
      <c r="BZ3" s="470"/>
    </row>
    <row r="4" spans="1:78" ht="13.5" thickBot="1">
      <c r="B4" s="390" t="str">
        <f>Criterios!A11 &amp;"  "&amp;Criterios!B11</f>
        <v>Resumenes por Partidos Judiciales  SAN JAVIER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8</v>
      </c>
      <c r="G10" s="403">
        <f>IF(ISNUMBER(F10/B10),F10/B10," - ")</f>
        <v>8</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309</v>
      </c>
      <c r="E12" s="403">
        <f t="shared" si="0"/>
        <v>44.142857142857146</v>
      </c>
      <c r="F12" s="402">
        <f>IF(ISNUMBER(Datos!N12),Datos!N12," - ")</f>
        <v>812</v>
      </c>
      <c r="G12" s="403">
        <f t="shared" si="1"/>
        <v>116</v>
      </c>
      <c r="H12" s="402">
        <f>IF(ISNUMBER(Datos!O12),Datos!O12," - ")</f>
        <v>694</v>
      </c>
      <c r="I12" s="403">
        <f t="shared" si="2"/>
        <v>99.142857142857139</v>
      </c>
      <c r="BZ12" s="1181">
        <f>Datos!EZ12</f>
        <v>0</v>
      </c>
    </row>
    <row r="13" spans="1:78" ht="14.25" thickTop="1" thickBot="1">
      <c r="A13" s="845" t="str">
        <f>Datos!A13</f>
        <v>TOTAL</v>
      </c>
      <c r="B13" s="846">
        <f>Datos!AP13</f>
        <v>7</v>
      </c>
      <c r="C13" s="848">
        <f>Datos!AR13</f>
        <v>7</v>
      </c>
      <c r="D13" s="846">
        <f>SUBTOTAL(9,D9:D12)</f>
        <v>311</v>
      </c>
      <c r="E13" s="847">
        <f t="shared" si="0"/>
        <v>44.428571428571431</v>
      </c>
      <c r="F13" s="846">
        <f>SUBTOTAL(9,F9:F12)</f>
        <v>820</v>
      </c>
      <c r="G13" s="847">
        <f t="shared" si="1"/>
        <v>117.14285714285714</v>
      </c>
      <c r="H13" s="846">
        <f>SUBTOTAL(9,H9:H12)</f>
        <v>694</v>
      </c>
      <c r="I13" s="847">
        <f>IF(ISNUMBER(H13/B13),H13/B13," - ")</f>
        <v>99.142857142857139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202</v>
      </c>
      <c r="E17" s="403">
        <f t="shared" si="3"/>
        <v>28.857142857142858</v>
      </c>
      <c r="F17" s="402">
        <f>IF(ISNUMBER(Datos!N17),Datos!N17," - ")</f>
        <v>1398</v>
      </c>
      <c r="G17" s="403">
        <f t="shared" si="4"/>
        <v>199.71428571428572</v>
      </c>
      <c r="H17" s="402">
        <f>IF(ISNUMBER(Datos!O17),Datos!O17," - ")</f>
        <v>6</v>
      </c>
      <c r="I17" s="403">
        <f t="shared" si="5"/>
        <v>0.8571428571428571</v>
      </c>
      <c r="BZ17" s="1181">
        <f>Datos!EZ17</f>
        <v>0</v>
      </c>
    </row>
    <row r="18" spans="1:78" ht="13.5" thickBot="1">
      <c r="A18" s="401" t="str">
        <f>Datos!A18</f>
        <v>Sección De Violencia sobre la Mujer del TI</v>
      </c>
      <c r="B18" s="426">
        <f>Datos!AO18</f>
        <v>1</v>
      </c>
      <c r="C18" s="427">
        <f>Datos!AQ18</f>
        <v>0</v>
      </c>
      <c r="D18" s="402">
        <f>IF(ISNUMBER(Datos!M18),Datos!M18," - ")</f>
        <v>79</v>
      </c>
      <c r="E18" s="403">
        <f>IF(ISNUMBER(D18/B18),D18/B18," - ")</f>
        <v>79</v>
      </c>
      <c r="F18" s="402">
        <f>IF(ISNUMBER(Datos!N18),Datos!N18," - ")</f>
        <v>102</v>
      </c>
      <c r="G18" s="403">
        <f>IF(ISNUMBER(F18/B18),F18/B18," - ")</f>
        <v>102</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281</v>
      </c>
      <c r="E19" s="847">
        <f t="shared" si="3"/>
        <v>40.142857142857146</v>
      </c>
      <c r="F19" s="846">
        <f>SUBTOTAL(9,F15:F18)</f>
        <v>1500</v>
      </c>
      <c r="G19" s="847">
        <f t="shared" si="4"/>
        <v>214.28571428571428</v>
      </c>
      <c r="H19" s="846">
        <f>SUBTOTAL(9,H15:H18)</f>
        <v>6</v>
      </c>
      <c r="I19" s="847">
        <f>IF(ISNUMBER(H19/B19),H19/B19," - ")</f>
        <v>0.8571428571428571</v>
      </c>
      <c r="BZ19" s="1181"/>
    </row>
    <row r="20" spans="1:78" ht="14.25" thickTop="1" thickBot="1">
      <c r="A20" s="790" t="str">
        <f>Datos!A20</f>
        <v>TOTAL JURISDICCIONES</v>
      </c>
      <c r="B20" s="791">
        <f>Datos!AP20</f>
        <v>7</v>
      </c>
      <c r="C20" s="791">
        <f>Datos!AR20</f>
        <v>7</v>
      </c>
      <c r="D20" s="791">
        <f>SUBTOTAL(9,D8:D19)</f>
        <v>592</v>
      </c>
      <c r="E20" s="792">
        <f>IF(ISNUMBER(D20/B20),D20/B20," - ")</f>
        <v>84.571428571428569</v>
      </c>
      <c r="F20" s="791">
        <f>SUBTOTAL(9,F8:F19)</f>
        <v>2320</v>
      </c>
      <c r="G20" s="792">
        <f>IF(ISNUMBER(F20/B20),F20/B20," - ")</f>
        <v>331.42857142857144</v>
      </c>
      <c r="H20" s="791">
        <f>SUBTOTAL(9,H8:H19)</f>
        <v>700</v>
      </c>
      <c r="I20" s="792">
        <f>IF(ISNUMBER(H20/B20),H20/B20," - ")</f>
        <v>100</v>
      </c>
    </row>
    <row r="23" spans="1:78">
      <c r="A23" s="390" t="str">
        <f>Criterios!A4</f>
        <v>Fecha Informe: 06 oct. 2026</v>
      </c>
    </row>
    <row r="28" spans="1:78">
      <c r="A28" s="413"/>
    </row>
  </sheetData>
  <sheetProtection algorithmName="SHA-512" hashValue="15vJU2xDfoogU/XA4EQXwc6FQF3S6Fy9SdRyihIInuoYDCOslrxes08NXF1WbfzmJxpT/Zf0eTuyASdWSqHH4g==" saltValue="1XqMwaDdcX6J0MZwBMFzd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REGION DE MURCIA</v>
      </c>
    </row>
    <row r="3" spans="1:4" ht="19.5">
      <c r="A3" s="428" t="s">
        <v>32</v>
      </c>
      <c r="B3" s="390" t="str">
        <f>Criterios!A10 &amp;"  "&amp;Criterios!B10</f>
        <v>Provincias  MURCIA</v>
      </c>
    </row>
    <row r="4" spans="1:4" ht="13.5" thickBot="1">
      <c r="B4" s="390" t="str">
        <f>Criterios!A11 &amp;"  "&amp;Criterios!B11</f>
        <v>Resumenes por Partidos Judiciales  SAN JAVIER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4</v>
      </c>
      <c r="C10" s="433">
        <f>IF(ISNUMBER(Datos!Q10),Datos!Q10," - ")</f>
        <v>3</v>
      </c>
      <c r="D10" s="407">
        <f>IF(ISNUMBER(Datos!R10),Datos!R10," - ")</f>
        <v>29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473</v>
      </c>
      <c r="C12" s="433">
        <f>IF(ISNUMBER(Datos!Q12),Datos!Q12," - ")</f>
        <v>354</v>
      </c>
      <c r="D12" s="407">
        <f>IF(ISNUMBER(Datos!R12),Datos!R12," - ")</f>
        <v>7764</v>
      </c>
    </row>
    <row r="13" spans="1:4" ht="14.25" thickTop="1" thickBot="1">
      <c r="A13" s="845" t="str">
        <f>Datos!A13</f>
        <v>TOTAL</v>
      </c>
      <c r="B13" s="846">
        <f>SUBTOTAL(9,B9:B12)</f>
        <v>477</v>
      </c>
      <c r="C13" s="850">
        <f>SUBTOTAL(9,C9:C12)</f>
        <v>357</v>
      </c>
      <c r="D13" s="848">
        <f>SUBTOTAL(9,D9:D12)</f>
        <v>7793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50</v>
      </c>
      <c r="C17" s="433">
        <f>IF(ISNUMBER(Datos!Q17),Datos!Q17," - ")</f>
        <v>22</v>
      </c>
      <c r="D17" s="407">
        <f>IF(ISNUMBER(Datos!R17),Datos!R17," - ")</f>
        <v>483</v>
      </c>
    </row>
    <row r="18" spans="1:4" ht="13.5" thickBot="1">
      <c r="A18" s="401" t="str">
        <f>Datos!A18</f>
        <v>Sección De Violencia sobre la Mujer del TI</v>
      </c>
      <c r="B18" s="432">
        <f>IF(ISNUMBER(Datos!P18),Datos!P18," - ")</f>
        <v>4</v>
      </c>
      <c r="C18" s="433">
        <f>IF(ISNUMBER(Datos!Q18),Datos!Q18," - ")</f>
        <v>4</v>
      </c>
      <c r="D18" s="407">
        <f>IF(ISNUMBER(Datos!R18),Datos!R18," - ")</f>
        <v>7</v>
      </c>
    </row>
    <row r="19" spans="1:4" ht="14.25" thickTop="1" thickBot="1">
      <c r="A19" s="845" t="str">
        <f>Datos!A19</f>
        <v>TOTAL</v>
      </c>
      <c r="B19" s="846">
        <f>SUBTOTAL(9,B15:B18)</f>
        <v>54</v>
      </c>
      <c r="C19" s="850">
        <f>SUBTOTAL(9,C15:C18)</f>
        <v>26</v>
      </c>
      <c r="D19" s="848">
        <f>SUBTOTAL(9,D15:D18)</f>
        <v>490</v>
      </c>
    </row>
    <row r="20" spans="1:4" ht="16.5" customHeight="1" thickTop="1" thickBot="1">
      <c r="A20" s="790" t="str">
        <f>Datos!A20</f>
        <v>TOTAL JURISDICCIONES</v>
      </c>
      <c r="B20" s="795">
        <f>SUBTOTAL(9,B8:B19)</f>
        <v>531</v>
      </c>
      <c r="C20" s="796">
        <f>SUBTOTAL(9,C8:C19)</f>
        <v>383</v>
      </c>
      <c r="D20" s="797">
        <f>SUBTOTAL(9,D8:D19)</f>
        <v>8283</v>
      </c>
    </row>
    <row r="21" spans="1:4" ht="7.5" customHeight="1"/>
    <row r="22" spans="1:4" ht="6" customHeight="1"/>
    <row r="23" spans="1:4">
      <c r="A23" s="390" t="str">
        <f>Criterios!A4</f>
        <v>Fecha Informe: 06 oct. 2026</v>
      </c>
    </row>
    <row r="28" spans="1:4">
      <c r="A28" s="413"/>
    </row>
  </sheetData>
  <sheetProtection algorithmName="SHA-512" hashValue="rFm4BETtFGLY2Q9WAOQ3iIpZgVKQxfpinwl3vPZspsv6P9PUXC+Zdyy8ImM0clQT1VmuNweWw+vEejK35iqn7w==" saltValue="JLxtYxm969wChCOJrQWC3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REGION DE MURCIA</v>
      </c>
    </row>
    <row r="3" spans="1:11" ht="18.75" customHeight="1">
      <c r="A3" s="428" t="s">
        <v>118</v>
      </c>
      <c r="B3" s="390" t="str">
        <f>Criterios!A10 &amp;"  "&amp;Criterios!B10</f>
        <v>Provincias  MURCIA</v>
      </c>
    </row>
    <row r="4" spans="1:11" ht="10.5" customHeight="1" thickBot="1">
      <c r="B4" s="390" t="str">
        <f>Criterios!A11 &amp;"  "&amp;Criterios!B11</f>
        <v>Resumenes por Partidos Judiciales  SAN JAVIER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5.9405940594059403E-2</v>
      </c>
      <c r="C10" s="455">
        <f>IF(ISNUMBER((Datos!J10-Datos!T10)/Datos!T10),(Datos!J10-Datos!T10)/Datos!T10," - ")</f>
        <v>0.75</v>
      </c>
      <c r="D10" s="455">
        <f>IF(ISNUMBER((Datos!K10-Datos!U10)/Datos!U10),(Datos!K10-Datos!U10)/Datos!U10," - ")</f>
        <v>1.6666666666666667</v>
      </c>
      <c r="E10" s="455">
        <f>IF(ISNUMBER((Datos!L10-Datos!V10)/Datos!V10),(Datos!L10-Datos!V10)/Datos!V10," - ")</f>
        <v>0</v>
      </c>
      <c r="F10" s="455">
        <f>IF(ISNUMBER((Datos!M10-Datos!W10)/Datos!W10),(Datos!M10-Datos!W10)/Datos!W10," - ")</f>
        <v>-0.7142857142857143</v>
      </c>
      <c r="G10" s="456">
        <f>IF(ISNUMBER((Datos!N10-Datos!X10)/Datos!X10),(Datos!N10-Datos!X10)/Datos!X10," - ")</f>
        <v>7</v>
      </c>
      <c r="H10" s="454">
        <f>IF(ISNUMBER(((NºAsuntos!G10/NºAsuntos!E10)-Datos!BD10)/Datos!BD10),((NºAsuntos!G10/NºAsuntos!E10)-Datos!BD10)/Datos!BD10," - ")</f>
        <v>0.52380952380952372</v>
      </c>
      <c r="I10" s="455">
        <f>IF(ISNUMBER(((NºAsuntos!I10/NºAsuntos!G10)-Datos!BE10)/Datos!BE10),((NºAsuntos!I10/NºAsuntos!G10)-Datos!BE10)/Datos!BE10," - ")</f>
        <v>-0.625</v>
      </c>
      <c r="J10" s="460">
        <f>IF(ISNUMBER((('Resol  Asuntos'!D10/NºAsuntos!G10)-Datos!BF10)/Datos!BF10),(('Resol  Asuntos'!D10/NºAsuntos!G10)-Datos!BF10)/Datos!BF10," - ")</f>
        <v>-0.89285714285714279</v>
      </c>
      <c r="K10" s="461">
        <f>IF(ISNUMBER((((NºAsuntos!C10+NºAsuntos!E10)/NºAsuntos!G10)-Datos!BG10)/Datos!BG10),(((NºAsuntos!C10+NºAsuntos!E10)/NºAsuntos!G10)-Datos!BG10)/Datos!BG10," - ")</f>
        <v>-0.5752212389380531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8.1874495017506058E-2</v>
      </c>
      <c r="C12" s="455">
        <f>IF(ISNUMBER(
   IF(J_V="SI",(Datos!J12-Datos!T12)/Datos!T12,(Datos!J12+Datos!Z12-(Datos!T12+Datos!AH12))/(Datos!T12+Datos!AH12))
     ),IF(J_V="SI",(Datos!J12-Datos!T12)/Datos!T12,(Datos!J12+Datos!Z12-(Datos!T12+Datos!AH12))/(Datos!T12+Datos!AH12))," - ")</f>
        <v>-0.16162109375</v>
      </c>
      <c r="D12" s="455">
        <f>IF(ISNUMBER(
   IF(J_V="SI",(Datos!K12-Datos!U12)/Datos!U12,(Datos!K12+Datos!AA12-(Datos!U12+Datos!AI12))/(Datos!U12+Datos!AI12))
     ),IF(J_V="SI",(Datos!K12-Datos!U12)/Datos!U12,(Datos!K12+Datos!AA12-(Datos!U12+Datos!AI12))/(Datos!U12+Datos!AI12))," - ")</f>
        <v>-6.0656649972175847E-2</v>
      </c>
      <c r="E12" s="455">
        <f>IF(ISNUMBER(
   IF(J_V="SI",(Datos!L12-Datos!V12)/Datos!V12,(Datos!L12+Datos!AB12-(Datos!V12+Datos!AJ12))/(Datos!V12+Datos!AJ12))
     ),IF(J_V="SI",(Datos!L12-Datos!V12)/Datos!V12,(Datos!L12+Datos!AB12-(Datos!V12+Datos!AJ12))/(Datos!V12+Datos!AJ12))," - ")</f>
        <v>5.0280057314054973E-2</v>
      </c>
      <c r="F12" s="455">
        <f>IF(ISNUMBER((Datos!M12-Datos!W12)/Datos!W12),(Datos!M12-Datos!W12)/Datos!W12," - ")</f>
        <v>-0.14640883977900551</v>
      </c>
      <c r="G12" s="456">
        <f>IF(ISNUMBER((Datos!N12-Datos!X12)/Datos!X12),(Datos!N12-Datos!X12)/Datos!X12," - ")</f>
        <v>-0.14345991561181434</v>
      </c>
      <c r="H12" s="454">
        <f>IF(ISNUMBER(((NºAsuntos!G12/NºAsuntos!E12)-Datos!BD12)/Datos!BD12),((NºAsuntos!G12/NºAsuntos!E12)-Datos!BD12)/Datos!BD12," - ")</f>
        <v>0.12042817755211635</v>
      </c>
      <c r="I12" s="455">
        <f>IF(ISNUMBER(((NºAsuntos!I12/NºAsuntos!G12)-Datos!BE12)/Datos!BE12),((NºAsuntos!I12/NºAsuntos!G12)-Datos!BE12)/Datos!BE12," - ")</f>
        <v>0.11810027428516386</v>
      </c>
      <c r="J12" s="460">
        <f>IF(ISNUMBER((('Resol  Asuntos'!D12/NºAsuntos!G12)-Datos!BF12)/Datos!BF12),(('Resol  Asuntos'!D12/NºAsuntos!G12)-Datos!BF12)/Datos!BF12," - ")</f>
        <v>-0.65300295458635793</v>
      </c>
      <c r="K12" s="461">
        <f>IF(ISNUMBER((((NºAsuntos!C12+NºAsuntos!E12)/NºAsuntos!G12)-Datos!BG12)/Datos!BG12),(((NºAsuntos!C12+NºAsuntos!E12)/NºAsuntos!G12)-Datos!BG12)/Datos!BG12," - ")</f>
        <v>9.5699367288072934E-2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8.1573003852796602E-2</v>
      </c>
      <c r="C13" s="852">
        <f>IF(ISNUMBER(
   IF(J_V="SI",(Datos!J13-Datos!T13)/Datos!T13,(Datos!J13+Datos!Z13-(Datos!T13+Datos!AH13))/(Datos!T13+Datos!AH13))
     ),IF(J_V="SI",(Datos!J13-Datos!T13)/Datos!T13,(Datos!J13+Datos!Z13-(Datos!T13+Datos!AH13))/(Datos!T13+Datos!AH13))," - ")</f>
        <v>-0.15631067961165049</v>
      </c>
      <c r="D13" s="852">
        <f>IF(ISNUMBER(
   IF(J_V="SI",(Datos!K13-Datos!U13)/Datos!U13,(Datos!K13+Datos!AA13-(Datos!U13+Datos!AI13))/(Datos!U13+Datos!AI13))
     ),IF(J_V="SI",(Datos!K13-Datos!U13)/Datos!U13,(Datos!K13+Datos!AA13-(Datos!U13+Datos!AI13))/(Datos!U13+Datos!AI13))," - ")</f>
        <v>-5.2048726467331122E-2</v>
      </c>
      <c r="E13" s="852">
        <f>IF(ISNUMBER(
   IF(J_V="SI",(Datos!L13-Datos!V13)/Datos!V13,(Datos!L13+Datos!AB13-(Datos!V13+Datos!AJ13))/(Datos!V13+Datos!AJ13))
     ),IF(J_V="SI",(Datos!L13-Datos!V13)/Datos!V13,(Datos!L13+Datos!AB13-(Datos!V13+Datos!AJ13))/(Datos!V13+Datos!AJ13))," - ")</f>
        <v>4.9608019534764167E-2</v>
      </c>
      <c r="F13" s="853">
        <f>IF(ISNUMBER((Datos!M13-Datos!W13)/Datos!W13),(Datos!M13-Datos!W13)/Datos!W13," - ")</f>
        <v>-0.15718157181571815</v>
      </c>
      <c r="G13" s="854">
        <f>IF(ISNUMBER((Datos!N13-Datos!X13)/Datos!X13),(Datos!N13-Datos!X13)/Datos!X13," - ")</f>
        <v>-0.13593256059009484</v>
      </c>
      <c r="H13" s="854">
        <f>IF(ISNUMBER(((NºAsuntos!G13/NºAsuntos!E13)-Datos!BD13)/Datos!BD13),((NºAsuntos!G13/NºAsuntos!E13)-Datos!BD13)/Datos!BD13," - ")</f>
        <v>0.12357860959568358</v>
      </c>
      <c r="I13" s="854">
        <f>IF(ISNUMBER(((NºAsuntos!I13/NºAsuntos!G13)-Datos!BE13)/Datos!BE13),((NºAsuntos!I13/NºAsuntos!G13)-Datos!BE13)/Datos!BE13," - ")</f>
        <v>0.10723836640174297</v>
      </c>
      <c r="J13" s="854">
        <f>IF(ISNUMBER((('Resol  Asuntos'!D13/NºAsuntos!G13)-Datos!BF13)/Datos!BF13),(('Resol  Asuntos'!D13/NºAsuntos!G13)-Datos!BF13)/Datos!BF13," - ")</f>
        <v>-0.65646498996917357</v>
      </c>
      <c r="K13" s="854">
        <f>IF(ISNUMBER((((NºAsuntos!C13+NºAsuntos!E13)/NºAsuntos!G13)-Datos!BG13)/Datos!BG13),(((NºAsuntos!C13+NºAsuntos!E13)/NºAsuntos!G13)-Datos!BG13)/Datos!BG13," - ")</f>
        <v>8.703679242432065E-2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0.37573058725299191</v>
      </c>
      <c r="C17" s="455">
        <f>IF(ISNUMBER(
   IF(D_I="SI",(Datos!J17-Datos!T17)/Datos!T17,(Datos!J17+Datos!AD17-(Datos!T17+Datos!AL17))/(Datos!T17+Datos!AL17))
     ),IF(D_I="SI",(Datos!J17-Datos!T17)/Datos!T17,(Datos!J17+Datos!AD17-(Datos!T17+Datos!AL17))/(Datos!T17+Datos!AL17))," - ")</f>
        <v>0.31934731934731936</v>
      </c>
      <c r="D17" s="455">
        <f>IF(ISNUMBER(
   IF(D_I="SI",(Datos!K17-Datos!U17)/Datos!U17,(Datos!K17+Datos!AE17-(Datos!U17+Datos!AM17))/(Datos!U17+Datos!AM17))
     ),IF(D_I="SI",(Datos!K17-Datos!U17)/Datos!U17,(Datos!K17+Datos!AE17-(Datos!U17+Datos!AM17))/(Datos!U17+Datos!AM17))," - ")</f>
        <v>0.58093278463648834</v>
      </c>
      <c r="E17" s="455">
        <f>IF(ISNUMBER(
   IF(D_I="SI",(Datos!L17-Datos!V17)/Datos!V17,(Datos!L17+Datos!AF17-(Datos!V17+Datos!AN17))/(Datos!V17+Datos!AN17))
     ),IF(D_I="SI",(Datos!L17-Datos!V17)/Datos!V17,(Datos!L17+Datos!AF17-(Datos!V17+Datos!AN17))/(Datos!V17+Datos!AN17))," - ")</f>
        <v>0.29845266194597431</v>
      </c>
      <c r="F17" s="455">
        <f>IF(ISNUMBER((Datos!M17-Datos!W17)/Datos!W17),(Datos!M17-Datos!W17)/Datos!W17," - ")</f>
        <v>-0.18218623481781376</v>
      </c>
      <c r="G17" s="456">
        <f>IF(ISNUMBER((Datos!N17-Datos!X17)/Datos!X17),(Datos!N17-Datos!X17)/Datos!X17," - ")</f>
        <v>0.69454545454545458</v>
      </c>
      <c r="H17" s="454">
        <f>IF(ISNUMBER(((NºAsuntos!G17/NºAsuntos!E17)-Datos!BD17)/Datos!BD17),((NºAsuntos!G17/NºAsuntos!E17)-Datos!BD17)/Datos!BD17," - ")</f>
        <v>0.19826884206546538</v>
      </c>
      <c r="I17" s="455">
        <f>IF(ISNUMBER(((NºAsuntos!I17/NºAsuntos!G17)-Datos!BE17)/Datos!BE17),((NºAsuntos!I17/NºAsuntos!G17)-Datos!BE17)/Datos!BE17," - ")</f>
        <v>-0.17867940081681963</v>
      </c>
      <c r="J17" s="460">
        <f>IF(ISNUMBER((('Resol  Asuntos'!D17/NºAsuntos!G17)-Datos!BF17)/Datos!BF17),(('Resol  Asuntos'!D17/NºAsuntos!G17)-Datos!BF17)/Datos!BF17," - ")</f>
        <v>-0.48270174853118103</v>
      </c>
      <c r="K17" s="461">
        <f>IF(ISNUMBER((((NºAsuntos!C17+NºAsuntos!E17)/NºAsuntos!G17)-Datos!BG17)/Datos!BG17),(((NºAsuntos!C17+NºAsuntos!E17)/NºAsuntos!G17)-Datos!BG17)/Datos!BG17," - ")</f>
        <v>-0.14132584580924876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1.1279069767441861</v>
      </c>
      <c r="C18" s="455">
        <f>IF(ISNUMBER(
   IF(D_I="SI",(Datos!J18-Datos!T18)/Datos!T18,(Datos!J18+Datos!AD18-(Datos!T18+Datos!AL18))/(Datos!T18+Datos!AL18))
     ),IF(D_I="SI",(Datos!J18-Datos!T18)/Datos!T18,(Datos!J18+Datos!AD18-(Datos!T18+Datos!AL18))/(Datos!T18+Datos!AL18))," - ")</f>
        <v>-6.5088757396449703E-2</v>
      </c>
      <c r="D18" s="455">
        <f>IF(ISNUMBER(
   IF(D_I="SI",(Datos!K18-Datos!U18)/Datos!U18,(Datos!K18+Datos!AE18-(Datos!U18+Datos!AM18))/(Datos!U18+Datos!AM18))
     ),IF(D_I="SI",(Datos!K18-Datos!U18)/Datos!U18,(Datos!K18+Datos!AE18-(Datos!U18+Datos!AM18))/(Datos!U18+Datos!AM18))," - ")</f>
        <v>0.3724137931034483</v>
      </c>
      <c r="E18" s="455">
        <f>IF(ISNUMBER(
   IF(D_I="SI",(Datos!L18-Datos!V18)/Datos!V18,(Datos!L18+Datos!AF18-(Datos!V18+Datos!AN18))/(Datos!V18+Datos!AN18))
     ),IF(D_I="SI",(Datos!L18-Datos!V18)/Datos!V18,(Datos!L18+Datos!AF18-(Datos!V18+Datos!AN18))/(Datos!V18+Datos!AN18))," - ")</f>
        <v>0.71938775510204078</v>
      </c>
      <c r="F18" s="455">
        <f>IF(ISNUMBER((Datos!M18-Datos!W18)/Datos!W18),(Datos!M18-Datos!W18)/Datos!W18," - ")</f>
        <v>-4.8192771084337352E-2</v>
      </c>
      <c r="G18" s="456">
        <f>IF(ISNUMBER((Datos!N18-Datos!X18)/Datos!X18),(Datos!N18-Datos!X18)/Datos!X18," - ")</f>
        <v>0.78947368421052633</v>
      </c>
      <c r="H18" s="454">
        <f>IF(ISNUMBER(((NºAsuntos!G18/NºAsuntos!E18)-Datos!BD18)/Datos!BD18),((NºAsuntos!G18/NºAsuntos!E18)-Datos!BD18)/Datos!BD18," - ")</f>
        <v>0.46796158882584021</v>
      </c>
      <c r="I18" s="455">
        <f>IF(ISNUMBER(((NºAsuntos!I18/NºAsuntos!G18)-Datos!BE18)/Datos!BE18),((NºAsuntos!I18/NºAsuntos!G18)-Datos!BE18)/Datos!BE18," - ")</f>
        <v>0.25282022356681355</v>
      </c>
      <c r="J18" s="460">
        <f>IF(ISNUMBER((('Resol  Asuntos'!D18/NºAsuntos!G18)-Datos!BF18)/Datos!BF18),(('Resol  Asuntos'!D18/NºAsuntos!G18)-Datos!BF18)/Datos!BF18," - ")</f>
        <v>-0.3064721196343162</v>
      </c>
      <c r="K18" s="461">
        <f>IF(ISNUMBER((((NºAsuntos!C18+NºAsuntos!E18)/NºAsuntos!G18)-Datos!BG18)/Datos!BG18),(((NºAsuntos!C18+NºAsuntos!E18)/NºAsuntos!G18)-Datos!BG18)/Datos!BG18," - ")</f>
        <v>0.11967461943146811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0.41009296148738378</v>
      </c>
      <c r="C19" s="852">
        <f>IF(ISNUMBER(
   IF(Criterios!B14="SI",(Datos!J19-Datos!T19)/Datos!T19,(Datos!J19+Datos!AD19-(Datos!T19+Datos!AL19))/(Datos!T19+Datos!AL19))
     ),IF(Criterios!B14="SI",(Datos!J19-Datos!T19)/Datos!T19,(Datos!J19+Datos!AD19-(Datos!T19+Datos!AL19))/(Datos!T19+Datos!AL19))," - ")</f>
        <v>0.28488063660477453</v>
      </c>
      <c r="D19" s="852">
        <f>IF(ISNUMBER(
   IF(Criterios!B14="SI",(Datos!K19-Datos!U19)/Datos!U19,(Datos!K19+Datos!AE19-(Datos!U19+Datos!AM19))/(Datos!U19+Datos!AM19))
     ),IF(Criterios!B14="SI",(Datos!K19-Datos!U19)/Datos!U19,(Datos!K19+Datos!AE19-(Datos!U19+Datos!AM19))/(Datos!U19+Datos!AM19))," - ")</f>
        <v>0.56207111665626952</v>
      </c>
      <c r="E19" s="852">
        <f>IF(ISNUMBER(
   IF(Criterios!B14="SI",(Datos!L19-Datos!V19)/Datos!V19,(Datos!L19+Datos!AF19-(Datos!V19+Datos!AN19))/(Datos!V19+Datos!AN19))
     ),IF(Criterios!B14="SI",(Datos!L19-Datos!V19)/Datos!V19,(Datos!L19+Datos!AF19-(Datos!V19+Datos!AN19))/(Datos!V19+Datos!AN19))," - ")</f>
        <v>0.31903217760039909</v>
      </c>
      <c r="F19" s="853">
        <f>IF(ISNUMBER((Datos!M19-Datos!W19)/Datos!W19),(Datos!M19-Datos!W19)/Datos!W19," - ")</f>
        <v>-0.1484848484848485</v>
      </c>
      <c r="G19" s="854">
        <f>IF(ISNUMBER((Datos!N19-Datos!X19)/Datos!X19),(Datos!N19-Datos!X19)/Datos!X19," - ")</f>
        <v>0.70068027210884354</v>
      </c>
      <c r="H19" s="854">
        <f>IF(ISNUMBER(((NºAsuntos!G19/NºAsuntos!E19)-Datos!BD19)/Datos!BD19),((NºAsuntos!G19/NºAsuntos!E19)-Datos!BD19)/Datos!BD19," - ")</f>
        <v>0.2157324751845863</v>
      </c>
      <c r="I19" s="854">
        <f>IF(ISNUMBER(((NºAsuntos!I19/NºAsuntos!G19)-Datos!BE19)/Datos!BE19),((NºAsuntos!I19/NºAsuntos!G19)-Datos!BE19)/Datos!BE19," - ")</f>
        <v>-0.15558762751859448</v>
      </c>
      <c r="J19" s="854">
        <f>IF(ISNUMBER((('Resol  Asuntos'!D19/NºAsuntos!G19)-Datos!BF19)/Datos!BF19),(('Resol  Asuntos'!D19/NºAsuntos!G19)-Datos!BF19)/Datos!BF19," - ")</f>
        <v>-0.45488067576725727</v>
      </c>
      <c r="K19" s="854">
        <f>IF(ISNUMBER((((NºAsuntos!C19+NºAsuntos!E19)/NºAsuntos!G19)-Datos!BG19)/Datos!BG19),(((NºAsuntos!C19+NºAsuntos!E19)/NºAsuntos!G19)-Datos!BG19)/Datos!BG19," - ")</f>
        <v>-0.12403566682688225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0.19110874955720863</v>
      </c>
      <c r="C20" s="799">
        <f>IF(ISNUMBER(
   IF(J_V="SI",(Datos!J20-Datos!T20)/Datos!T20,(Datos!J20+Datos!Z20-(Datos!T20+Datos!AH20))/(Datos!T20+Datos!AH20))
     ),IF(J_V="SI",(Datos!J20-Datos!T20)/Datos!T20,(Datos!J20+Datos!Z20-(Datos!T20+Datos!AH20))/(Datos!T20+Datos!AH20))," - ")</f>
        <v>5.4499366286438533E-2</v>
      </c>
      <c r="D20" s="799">
        <f>IF(ISNUMBER(
   IF(J_V="SI",(Datos!K20-Datos!U20)/Datos!U20,(Datos!K20+Datos!AA20-(Datos!U20+Datos!AI20))/(Datos!U20+Datos!AI20))
     ),IF(J_V="SI",(Datos!K20-Datos!U20)/Datos!U20,(Datos!K20+Datos!AA20-(Datos!U20+Datos!AI20))/(Datos!U20+Datos!AI20))," - ")</f>
        <v>0.23672631270167205</v>
      </c>
      <c r="E20" s="799">
        <f>IF(ISNUMBER(
   IF(J_V="SI",(Datos!L20-Datos!V20)/Datos!V20,(Datos!L20+Datos!AB20-(Datos!V20+Datos!AJ20))/(Datos!V20+Datos!AJ20))
     ),IF(J_V="SI",(Datos!L20-Datos!V20)/Datos!V20,(Datos!L20+Datos!AB20-(Datos!V20+Datos!AJ20))/(Datos!V20+Datos!AJ20))," - ")</f>
        <v>0.14122137404580154</v>
      </c>
      <c r="F20" s="800">
        <f>IF(ISNUMBER((Datos!M20-Datos!W20)/Datos!W20),(Datos!M20-Datos!W20)/Datos!W20," - ")</f>
        <v>-0.1530758226037196</v>
      </c>
      <c r="G20" s="801">
        <f>IF(ISNUMBER((Datos!N20-Datos!X20)/Datos!X20),(Datos!N20-Datos!X20)/Datos!X20," - ")</f>
        <v>0.26706717640633532</v>
      </c>
      <c r="H20" s="802">
        <f>IF(ISNUMBER((Tasas!B20-Datos!BD20)/Datos!BD20),(Tasas!B20-Datos!BD20)/Datos!BD20," - ")</f>
        <v>0.17280896721348454</v>
      </c>
      <c r="I20" s="803">
        <f>IF(ISNUMBER((Tasas!C20-Datos!BE20)/Datos!BE20),(Tasas!C20-Datos!BE20)/Datos!BE20," - ")</f>
        <v>-7.7223988585830794E-2</v>
      </c>
      <c r="J20" s="804">
        <f>IF(ISNUMBER((Tasas!D20-Datos!BF20)/Datos!BF20),(Tasas!D20-Datos!BF20)/Datos!BF20," - ")</f>
        <v>-0.62748395956851433</v>
      </c>
      <c r="K20" s="804">
        <f>IF(ISNUMBER((Tasas!E20-Datos!BG20)/Datos!BG20),(Tasas!E20-Datos!BG20)/Datos!BG20," - ")</f>
        <v>-6.5484976834702391E-2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WwSvPurx5MgNh4q4X/WnpPuS408KGyqDYWQHBU9Pm1VCMv6WGmwoscnrWQnXDnujT34AJBpMNUOnE/lRwk0EQ==" saltValue="ofhhI+cVfwgub+qAl3nhI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REGION DE MURCIA</v>
      </c>
    </row>
    <row r="3" spans="1:7" ht="19.5">
      <c r="A3" s="435" t="s">
        <v>12</v>
      </c>
      <c r="B3" s="390" t="str">
        <f>Criterios!A10 &amp;"  "&amp;Criterios!B10</f>
        <v>Provincias  MURCIA</v>
      </c>
    </row>
    <row r="4" spans="1:7" ht="11.25" customHeight="1" thickBot="1">
      <c r="B4" s="390" t="str">
        <f>Criterios!A11 &amp;"  "&amp;Criterios!B11</f>
        <v>Resumenes por Partidos Judiciales  SAN JAVIER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1.1428571428571428</v>
      </c>
      <c r="C10" s="442">
        <f>IF(ISNUMBER(NºAsuntos!I10/NºAsuntos!G10),NºAsuntos!I10/NºAsuntos!G10," - ")</f>
        <v>4.333333333333333</v>
      </c>
      <c r="D10" s="443">
        <f>IF(ISNUMBER('Resol  Asuntos'!D10/NºAsuntos!G10),'Resol  Asuntos'!D10/NºAsuntos!G10," - ")</f>
        <v>8.3333333333333329E-2</v>
      </c>
      <c r="E10" s="444">
        <f>IF(ISNUMBER((NºAsuntos!C10+NºAsuntos!E10)/NºAsuntos!G10),(NºAsuntos!C10+NºAsuntos!E10)/NºAsuntos!G10," - ")</f>
        <v>5.333333333333333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0.98311007571345366</v>
      </c>
      <c r="C12" s="442">
        <f>IF(ISNUMBER(NºAsuntos!I12/NºAsuntos!G12),NºAsuntos!I12/NºAsuntos!G12," - ")</f>
        <v>4.7766587677725116</v>
      </c>
      <c r="D12" s="443">
        <f>IF(ISNUMBER('Resol  Asuntos'!D12/NºAsuntos!G12),'Resol  Asuntos'!D12/NºAsuntos!G12," - ")</f>
        <v>0.18305687203791468</v>
      </c>
      <c r="E12" s="444">
        <f>IF(ISNUMBER((NºAsuntos!C12+NºAsuntos!E12)/NºAsuntos!G12),(NºAsuntos!C12+NºAsuntos!E12)/NºAsuntos!G12," - ")</f>
        <v>5.7766587677725116</v>
      </c>
      <c r="G12" s="462"/>
    </row>
    <row r="13" spans="1:7" ht="14.25" thickTop="1" thickBot="1">
      <c r="A13" s="845" t="str">
        <f>Datos!A13</f>
        <v>TOTAL</v>
      </c>
      <c r="B13" s="855">
        <f>IF(ISNUMBER(NºAsuntos!G13/NºAsuntos!E13),NºAsuntos!G13/NºAsuntos!E13," - ")</f>
        <v>0.98504027617951673</v>
      </c>
      <c r="C13" s="856">
        <f>IF(ISNUMBER(NºAsuntos!I13/NºAsuntos!G13),NºAsuntos!I13/NºAsuntos!G13," - ")</f>
        <v>4.7704439252336446</v>
      </c>
      <c r="D13" s="857">
        <f>IF(ISNUMBER('Resol  Asuntos'!D13/NºAsuntos!G13),'Resol  Asuntos'!D13/NºAsuntos!G13," - ")</f>
        <v>0.18165887850467291</v>
      </c>
      <c r="E13" s="858">
        <f>IF(ISNUMBER((NºAsuntos!C13+NºAsuntos!E13)/NºAsuntos!G13),(NºAsuntos!C13+NºAsuntos!E13)/NºAsuntos!G13," - ")</f>
        <v>5.7704439252336446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1.0181095406360423</v>
      </c>
      <c r="C17" s="442">
        <f>IF(ISNUMBER(NºAsuntos!I17/NºAsuntos!G17),NºAsuntos!I17/NºAsuntos!G17," - ")</f>
        <v>2.1479392624728852</v>
      </c>
      <c r="D17" s="443">
        <f>IF(ISNUMBER('Resol  Asuntos'!D17/NºAsuntos!G17),'Resol  Asuntos'!D17/NºAsuntos!G17," - ")</f>
        <v>8.7635574837310201E-2</v>
      </c>
      <c r="E17" s="444">
        <f>IF(ISNUMBER((NºAsuntos!C17+NºAsuntos!E17)/NºAsuntos!G17),(NºAsuntos!C17+NºAsuntos!E17)/NºAsuntos!G17," - ")</f>
        <v>3.1266811279826463</v>
      </c>
      <c r="G17" s="462"/>
    </row>
    <row r="18" spans="1:7" ht="21.75" thickBot="1">
      <c r="A18" s="401" t="str">
        <f>Datos!A18</f>
        <v>Sección De Violencia sobre la Mujer del TI</v>
      </c>
      <c r="B18" s="441">
        <f>IF(ISNUMBER(NºAsuntos!G18/NºAsuntos!E18),NºAsuntos!G18/NºAsuntos!E18," - ")</f>
        <v>1.259493670886076</v>
      </c>
      <c r="C18" s="442">
        <f>IF(ISNUMBER(NºAsuntos!I18/NºAsuntos!G18),NºAsuntos!I18/NºAsuntos!G18," - ")</f>
        <v>1.693467336683417</v>
      </c>
      <c r="D18" s="443">
        <f>IF(ISNUMBER('Resol  Asuntos'!D18/NºAsuntos!G18),'Resol  Asuntos'!D18/NºAsuntos!G18," - ")</f>
        <v>0.39698492462311558</v>
      </c>
      <c r="E18" s="444">
        <f>IF(ISNUMBER((NºAsuntos!C18+NºAsuntos!E18)/NºAsuntos!G18),(NºAsuntos!C18+NºAsuntos!E18)/NºAsuntos!G18," - ")</f>
        <v>2.6331658291457285</v>
      </c>
      <c r="G18" s="462"/>
    </row>
    <row r="19" spans="1:7" ht="14.25" thickTop="1" thickBot="1">
      <c r="A19" s="845" t="str">
        <f>Datos!A19</f>
        <v>TOTAL</v>
      </c>
      <c r="B19" s="855">
        <f>IF(ISNUMBER(NºAsuntos!G19/NºAsuntos!E19),NºAsuntos!G19/NºAsuntos!E19," - ")</f>
        <v>1.0338563170933113</v>
      </c>
      <c r="C19" s="856">
        <f>IF(ISNUMBER(NºAsuntos!I19/NºAsuntos!G19),NºAsuntos!I19/NºAsuntos!G19," - ")</f>
        <v>2.1118210862619806</v>
      </c>
      <c r="D19" s="859">
        <f>IF(ISNUMBER('Resol  Asuntos'!D19/NºAsuntos!G19),'Resol  Asuntos'!D19/NºAsuntos!G19," - ")</f>
        <v>0.11222044728434505</v>
      </c>
      <c r="E19" s="858">
        <f>IF(ISNUMBER((NºAsuntos!C19+NºAsuntos!E19)/NºAsuntos!G19),(NºAsuntos!C19+NºAsuntos!E19)/NºAsuntos!G19," - ")</f>
        <v>3.0874600638977636</v>
      </c>
      <c r="G19" s="462"/>
    </row>
    <row r="20" spans="1:7" ht="15.75" customHeight="1" thickTop="1" thickBot="1">
      <c r="A20" s="790" t="str">
        <f>Datos!A20</f>
        <v>TOTAL JURISDICCIONES</v>
      </c>
      <c r="B20" s="805">
        <f>IF(ISNUMBER(NºAsuntos!G20/NºAsuntos!E20),NºAsuntos!G20/NºAsuntos!E20," - ")</f>
        <v>1.0134615384615384</v>
      </c>
      <c r="C20" s="806">
        <f>IF(ISNUMBER(NºAsuntos!I20/NºAsuntos!G20),NºAsuntos!I20/NºAsuntos!G20," - ")</f>
        <v>3.1914136622390892</v>
      </c>
      <c r="D20" s="807">
        <f>IF(ISNUMBER('Resol  Asuntos'!D20/NºAsuntos!G20),'Resol  Asuntos'!D20/NºAsuntos!G20," - ")</f>
        <v>0.14041745730550284</v>
      </c>
      <c r="E20" s="808">
        <f>IF(ISNUMBER((NºAsuntos!C20+NºAsuntos!E20)/NºAsuntos!G20),(NºAsuntos!C20+NºAsuntos!E20)/NºAsuntos!G20," - ")</f>
        <v>4.1769449715370017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AQnQvnNVLEPmZm2q7fo8vYlXaEIiWdxCABjT2XQok25FSzBfeKV+WL5nnXm0jqTA8G3gxXswDrvzDGmczFD7g==" saltValue="2IWBV8Fy7jgeCjiTLgyb2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REGION DE MURCIA</v>
      </c>
      <c r="G2" s="262"/>
      <c r="H2" s="261"/>
      <c r="I2" s="261"/>
      <c r="J2" s="261"/>
      <c r="K2" s="261"/>
      <c r="L2" s="261" t="str">
        <f>Criterios!A10 &amp;"  "&amp;Criterios!B10</f>
        <v>Provincias  MURCIA</v>
      </c>
      <c r="N2" s="261" t="str">
        <f>Criterios!A11 &amp;"  "&amp;Criterios!B11</f>
        <v>Resumenes por Partidos Judiciales  SAN JAVIER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107</v>
      </c>
      <c r="G10" s="332">
        <f>IF(ISNUMBER(Datos!I10),Datos!I10," - ")</f>
        <v>107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4</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24</v>
      </c>
      <c r="X10" s="225">
        <f>IF(ISNUMBER(Datos!Q10),Datos!Q10," - ")</f>
        <v>3</v>
      </c>
      <c r="Y10" s="333">
        <f t="shared" ref="Y10:Y12" si="0">SUM(W10:X10)</f>
        <v>27</v>
      </c>
      <c r="Z10" s="334" t="str">
        <f>IF(ISNUMBER(Datos!CC10),Datos!CC10," - ")</f>
        <v xml:space="preserve"> - </v>
      </c>
      <c r="AA10" s="331">
        <f>IF(ISNUMBER(Datos!L10),Datos!L10,"-")</f>
        <v>104</v>
      </c>
      <c r="AB10" s="333">
        <f>IF(ISNUMBER(Datos!R10),Datos!R10," - ")</f>
        <v>29</v>
      </c>
      <c r="AC10" s="333">
        <f t="shared" ref="AC10:AC12" si="1">IF(ISNUMBER(AA10+AB10),AA10+AB10," - ")</f>
        <v>133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1.1428571428571428</v>
      </c>
      <c r="AM10" s="259">
        <f>IF(ISNUMBER(((NºAsuntos!I10/NºAsuntos!G10)*11)/factor_trimestre),((NºAsuntos!I10/NºAsuntos!G10)*11)/factor_trimestre," - ")</f>
        <v>13</v>
      </c>
      <c r="AN10" s="243">
        <f>IF(ISNUMBER('Resol  Asuntos'!D10/NºAsuntos!G10),'Resol  Asuntos'!D10/NºAsuntos!G10," - ")</f>
        <v>8.3333333333333329E-2</v>
      </c>
      <c r="AO10" s="244">
        <f>IF(ISNUMBER((NºAsuntos!C10+NºAsuntos!E10)/NºAsuntos!G10),(NºAsuntos!C10+NºAsuntos!E10)/NºAsuntos!G10," - ")</f>
        <v>5.333333333333333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473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354</v>
      </c>
      <c r="Y12" s="333">
        <f t="shared" si="0"/>
        <v>354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7764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309</v>
      </c>
      <c r="AJ12" s="228" t="str">
        <f>IF(ISNUMBER(Datos!BW12),Datos!BW12," - ")</f>
        <v xml:space="preserve"> - </v>
      </c>
      <c r="AK12" s="227" t="str">
        <f>IF(ISNUMBER(Datos!BX12),Datos!BX12," - ")</f>
        <v xml:space="preserve"> - </v>
      </c>
      <c r="AL12" s="242">
        <f>IF(ISNUMBER(NºAsuntos!G12/NºAsuntos!E12),NºAsuntos!G12/NºAsuntos!E12," - ")</f>
        <v>0.98311007571345366</v>
      </c>
      <c r="AM12" s="259">
        <f>IF(ISNUMBER(((NºAsuntos!I12/NºAsuntos!G12)*11)/factor_trimestre),((NºAsuntos!I12/NºAsuntos!G12)*11)/factor_trimestre," - ")</f>
        <v>14.329976303317537</v>
      </c>
      <c r="AN12" s="243">
        <f>IF(ISNUMBER('Resol  Asuntos'!D12/NºAsuntos!G12),'Resol  Asuntos'!D12/NºAsuntos!G12," - ")</f>
        <v>0.18305687203791468</v>
      </c>
      <c r="AO12" s="244">
        <f>IF(ISNUMBER((NºAsuntos!C12+NºAsuntos!E12)/NºAsuntos!G12),(NºAsuntos!C12+NºAsuntos!E12)/NºAsuntos!G12," - ")</f>
        <v>5.7766587677725116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107</v>
      </c>
      <c r="G13" s="863">
        <f t="shared" si="3"/>
        <v>107</v>
      </c>
      <c r="H13" s="862">
        <f t="shared" si="3"/>
        <v>0</v>
      </c>
      <c r="I13" s="864">
        <f t="shared" si="3"/>
        <v>0</v>
      </c>
      <c r="J13" s="864">
        <f t="shared" si="3"/>
        <v>0</v>
      </c>
      <c r="K13" s="864">
        <f t="shared" si="3"/>
        <v>0</v>
      </c>
      <c r="L13" s="864">
        <f t="shared" si="3"/>
        <v>477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24</v>
      </c>
      <c r="X13" s="864">
        <f t="shared" si="4"/>
        <v>357</v>
      </c>
      <c r="Y13" s="865">
        <f t="shared" si="4"/>
        <v>381</v>
      </c>
      <c r="Z13" s="865">
        <f t="shared" si="4"/>
        <v>0</v>
      </c>
      <c r="AA13" s="865">
        <f t="shared" si="4"/>
        <v>104</v>
      </c>
      <c r="AB13" s="865">
        <f t="shared" si="4"/>
        <v>7793</v>
      </c>
      <c r="AC13" s="865">
        <f t="shared" si="4"/>
        <v>133</v>
      </c>
      <c r="AD13" s="865">
        <f t="shared" si="4"/>
        <v>0</v>
      </c>
      <c r="AE13" s="869">
        <f t="shared" si="4"/>
        <v>0</v>
      </c>
      <c r="AF13" s="862">
        <f t="shared" si="4"/>
        <v>0</v>
      </c>
      <c r="AG13" s="870">
        <f t="shared" si="4"/>
        <v>0</v>
      </c>
      <c r="AH13" s="867">
        <f t="shared" si="4"/>
        <v>0</v>
      </c>
      <c r="AI13" s="862">
        <f t="shared" si="4"/>
        <v>311</v>
      </c>
      <c r="AJ13" s="864">
        <f t="shared" si="4"/>
        <v>0</v>
      </c>
      <c r="AK13" s="867">
        <f>SUBTOTAL(9,AK9:AK12)</f>
        <v>0</v>
      </c>
      <c r="AL13" s="871">
        <f>IF(ISNUMBER(NºAsuntos!G13/NºAsuntos!E13),NºAsuntos!G13/NºAsuntos!E13," - ")</f>
        <v>0.98504027617951673</v>
      </c>
      <c r="AM13" s="871">
        <f>IF(ISNUMBER(((NºAsuntos!I13/NºAsuntos!G13)*11)/factor_trimestre),((NºAsuntos!I13/NºAsuntos!G13)*11)/factor_trimestre," - ")</f>
        <v>14.311331775700936</v>
      </c>
      <c r="AN13" s="872">
        <f>IF(ISNUMBER('Resol  Asuntos'!D13/NºAsuntos!G13),'Resol  Asuntos'!D13/NºAsuntos!G13," - ")</f>
        <v>0.18165887850467291</v>
      </c>
      <c r="AO13" s="873">
        <f>IF(ISNUMBER((NºAsuntos!C13+NºAsuntos!E13)/NºAsuntos!G13),(NºAsuntos!C13+NºAsuntos!E13)/NºAsuntos!G13," - ")</f>
        <v>5.7704439252336446</v>
      </c>
      <c r="AP13" s="874" t="str">
        <f t="shared" si="2"/>
        <v xml:space="preserve"> - </v>
      </c>
      <c r="AQ13" s="874">
        <f>IF(ISNUMBER((H13-W13+K13)/(F13)),(H13-W13+K13)/(F13)," - ")</f>
        <v>-0.22429906542056074</v>
      </c>
      <c r="AR13" s="875">
        <f>IF(ISNUMBER((Datos!P13-Datos!Q13)/(Datos!R13-Datos!P13+Datos!Q13)),(Datos!P13-Datos!Q13)/(Datos!R13-Datos!P13+Datos!Q13)," - ")</f>
        <v>1.5639254528867459E-2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4992</v>
      </c>
      <c r="G17" s="332">
        <f>IF(ISNUMBER(IF(D_I="SI",Datos!I17,Datos!I17+Datos!AC17)),IF(D_I="SI",Datos!I17,Datos!I17+Datos!AC17)," - ")</f>
        <v>4943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2305</v>
      </c>
      <c r="X17" s="225">
        <f>IF(ISNUMBER(Datos!Q17),Datos!Q17," - ")</f>
        <v>22</v>
      </c>
      <c r="Y17" s="333">
        <f t="shared" ref="Y17:Y18" si="9">SUM(W17:X17)</f>
        <v>2327</v>
      </c>
      <c r="Z17" s="334" t="str">
        <f>IF(ISNUMBER(Datos!CC17),Datos!CC17," - ")</f>
        <v xml:space="preserve"> - </v>
      </c>
      <c r="AA17" s="331">
        <f>IF(ISNUMBER(IF(D_I="SI",Datos!L17,Datos!L17+Datos!AF17)),IF(D_I="SI",Datos!L17,Datos!L17+Datos!AF17)," - ")</f>
        <v>4951</v>
      </c>
      <c r="AB17" s="333">
        <f>IF(ISNUMBER(Datos!R17),Datos!R17," - ")</f>
        <v>483</v>
      </c>
      <c r="AC17" s="333">
        <f t="shared" si="6"/>
        <v>5434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202</v>
      </c>
      <c r="AJ17" s="230" t="str">
        <f>IF(ISNUMBER(Datos!BW17),Datos!BW17," - ")</f>
        <v xml:space="preserve"> - </v>
      </c>
      <c r="AK17" s="231" t="str">
        <f>IF(ISNUMBER(Datos!BX17),Datos!BX17," - ")</f>
        <v xml:space="preserve"> - </v>
      </c>
      <c r="AL17" s="242">
        <f>IF(ISNUMBER(NºAsuntos!G17/NºAsuntos!E17),NºAsuntos!G17/NºAsuntos!E17," - ")</f>
        <v>1.0181095406360423</v>
      </c>
      <c r="AM17" s="259">
        <f>IF(ISNUMBER(((NºAsuntos!I17/NºAsuntos!G17)*11)/factor_trimestre),((NºAsuntos!I17/NºAsuntos!G17)*11)/factor_trimestre," - ")</f>
        <v>6.4438177874186557</v>
      </c>
      <c r="AN17" s="243">
        <f>IF(ISNUMBER('Resol  Asuntos'!D17/NºAsuntos!G17),'Resol  Asuntos'!D17/NºAsuntos!G17," - ")</f>
        <v>8.7635574837310201E-2</v>
      </c>
      <c r="AO17" s="244">
        <f>IF(ISNUMBER((NºAsuntos!C17+NºAsuntos!E17)/NºAsuntos!G17),(NºAsuntos!C17+NºAsuntos!E17)/NºAsuntos!G17," - ")</f>
        <v>3.1266811279826463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366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199</v>
      </c>
      <c r="X18" s="225">
        <f>IF(ISNUMBER(Datos!Q18),Datos!Q18," - ")</f>
        <v>4</v>
      </c>
      <c r="Y18" s="333">
        <f t="shared" si="9"/>
        <v>203</v>
      </c>
      <c r="Z18" s="334" t="str">
        <f>IF(ISNUMBER(Datos!CC18),Datos!CC18," - ")</f>
        <v xml:space="preserve"> - </v>
      </c>
      <c r="AA18" s="331">
        <f>IF(ISNUMBER(Datos!L18),Datos!L18,"-")</f>
        <v>337</v>
      </c>
      <c r="AB18" s="333">
        <f>IF(ISNUMBER(Datos!R18),Datos!R18," - ")</f>
        <v>7</v>
      </c>
      <c r="AC18" s="333">
        <f t="shared" si="6"/>
        <v>344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79</v>
      </c>
      <c r="AJ18" s="230" t="str">
        <f>IF(ISNUMBER(Datos!BW18),Datos!BW18," - ")</f>
        <v xml:space="preserve"> - </v>
      </c>
      <c r="AK18" s="231" t="str">
        <f>IF(ISNUMBER(Datos!BX18),Datos!BX18," - ")</f>
        <v xml:space="preserve"> - </v>
      </c>
      <c r="AL18" s="242">
        <f>IF(ISNUMBER(NºAsuntos!G18/NºAsuntos!E18),NºAsuntos!G18/NºAsuntos!E18," - ")</f>
        <v>1.259493670886076</v>
      </c>
      <c r="AM18" s="259">
        <f>IF(ISNUMBER(((NºAsuntos!I18/NºAsuntos!G18)*11)/factor_trimestre),((NºAsuntos!I18/NºAsuntos!G18)*11)/factor_trimestre," - ")</f>
        <v>5.0804020100502516</v>
      </c>
      <c r="AN18" s="243">
        <f>IF(ISNUMBER('Resol  Asuntos'!D18/NºAsuntos!G18),'Resol  Asuntos'!D18/NºAsuntos!G18," - ")</f>
        <v>0.39698492462311558</v>
      </c>
      <c r="AO18" s="244">
        <f>IF(ISNUMBER((NºAsuntos!C18+NºAsuntos!E18)/NºAsuntos!G18),(NºAsuntos!C18+NºAsuntos!E18)/NºAsuntos!G18," - ")</f>
        <v>2.6331658291457285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4992</v>
      </c>
      <c r="G19" s="863">
        <f>SUBTOTAL(9,G15:G18)</f>
        <v>5309</v>
      </c>
      <c r="H19" s="862">
        <f t="shared" ref="H19:O19" si="12">SUBTOTAL(9,H14:H18)</f>
        <v>0</v>
      </c>
      <c r="I19" s="864">
        <f t="shared" si="12"/>
        <v>0</v>
      </c>
      <c r="J19" s="864">
        <f t="shared" si="12"/>
        <v>0</v>
      </c>
      <c r="K19" s="864">
        <f t="shared" si="12"/>
        <v>0</v>
      </c>
      <c r="L19" s="864">
        <f t="shared" si="12"/>
        <v>54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2504</v>
      </c>
      <c r="X19" s="864">
        <f t="shared" si="13"/>
        <v>26</v>
      </c>
      <c r="Y19" s="865">
        <f t="shared" si="13"/>
        <v>2530</v>
      </c>
      <c r="Z19" s="865">
        <f t="shared" si="13"/>
        <v>0</v>
      </c>
      <c r="AA19" s="865">
        <f t="shared" si="13"/>
        <v>5288</v>
      </c>
      <c r="AB19" s="865">
        <f t="shared" si="13"/>
        <v>490</v>
      </c>
      <c r="AC19" s="865">
        <f t="shared" si="13"/>
        <v>5778</v>
      </c>
      <c r="AD19" s="865">
        <f t="shared" si="13"/>
        <v>0</v>
      </c>
      <c r="AE19" s="869">
        <f t="shared" si="13"/>
        <v>0</v>
      </c>
      <c r="AF19" s="862">
        <f t="shared" si="13"/>
        <v>0</v>
      </c>
      <c r="AG19" s="870">
        <f t="shared" si="13"/>
        <v>0</v>
      </c>
      <c r="AH19" s="867">
        <f t="shared" si="13"/>
        <v>0</v>
      </c>
      <c r="AI19" s="862">
        <f t="shared" si="13"/>
        <v>281</v>
      </c>
      <c r="AJ19" s="864">
        <f t="shared" si="13"/>
        <v>0</v>
      </c>
      <c r="AK19" s="867">
        <f t="shared" si="13"/>
        <v>0</v>
      </c>
      <c r="AL19" s="871">
        <f>IF(ISNUMBER(NºAsuntos!G19/NºAsuntos!E19),NºAsuntos!G19/NºAsuntos!E19," - ")</f>
        <v>1.0338563170933113</v>
      </c>
      <c r="AM19" s="871">
        <f>IF(ISNUMBER(((NºAsuntos!I19/NºAsuntos!G19)*11)/factor_trimestre),((NºAsuntos!I19/NºAsuntos!G19)*11)/factor_trimestre," - ")</f>
        <v>6.3354632587859427</v>
      </c>
      <c r="AN19" s="872">
        <f>IF(ISNUMBER('Resol  Asuntos'!D19/NºAsuntos!G19),'Resol  Asuntos'!D19/NºAsuntos!G19," - ")</f>
        <v>0.11222044728434505</v>
      </c>
      <c r="AO19" s="873">
        <f>IF(ISNUMBER((NºAsuntos!C19+NºAsuntos!E19)/NºAsuntos!G19),(NºAsuntos!C19+NºAsuntos!E19)/NºAsuntos!G19," - ")</f>
        <v>3.0874600638977636</v>
      </c>
      <c r="AP19" s="874" t="str">
        <f t="shared" si="2"/>
        <v xml:space="preserve"> - </v>
      </c>
      <c r="AQ19" s="874">
        <f>IF(ISNUMBER((H19-W19+K19)/(F19)),(H19-W19+K19)/(F19)," - ")</f>
        <v>-0.5016025641025641</v>
      </c>
      <c r="AR19" s="875">
        <f>IF(ISNUMBER((Datos!P19-Datos!Q19)/(Datos!R19-Datos!P19+Datos!Q19)),(Datos!P19-Datos!Q19)/(Datos!R19-Datos!P19+Datos!Q19)," - ")</f>
        <v>6.0606060606060608E-2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5099</v>
      </c>
      <c r="G20" s="818">
        <f t="shared" si="15"/>
        <v>5416</v>
      </c>
      <c r="H20" s="817">
        <f t="shared" si="15"/>
        <v>0</v>
      </c>
      <c r="I20" s="819">
        <f t="shared" si="15"/>
        <v>0</v>
      </c>
      <c r="J20" s="819">
        <f t="shared" si="15"/>
        <v>0</v>
      </c>
      <c r="K20" s="878">
        <f t="shared" si="15"/>
        <v>0</v>
      </c>
      <c r="L20" s="819">
        <f t="shared" si="15"/>
        <v>531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2528</v>
      </c>
      <c r="X20" s="818">
        <f t="shared" si="16"/>
        <v>383</v>
      </c>
      <c r="Y20" s="825">
        <f t="shared" si="16"/>
        <v>2911</v>
      </c>
      <c r="Z20" s="825">
        <f t="shared" si="16"/>
        <v>0</v>
      </c>
      <c r="AA20" s="825">
        <f t="shared" si="16"/>
        <v>5392</v>
      </c>
      <c r="AB20" s="825">
        <f t="shared" si="16"/>
        <v>8283</v>
      </c>
      <c r="AC20" s="825">
        <f t="shared" si="16"/>
        <v>5911</v>
      </c>
      <c r="AD20" s="825">
        <f t="shared" si="16"/>
        <v>0</v>
      </c>
      <c r="AE20" s="827">
        <f t="shared" si="16"/>
        <v>0</v>
      </c>
      <c r="AF20" s="828">
        <f t="shared" si="16"/>
        <v>0</v>
      </c>
      <c r="AG20" s="829">
        <f t="shared" si="16"/>
        <v>0</v>
      </c>
      <c r="AH20" s="827">
        <f t="shared" si="16"/>
        <v>0</v>
      </c>
      <c r="AI20" s="817">
        <f t="shared" si="16"/>
        <v>592</v>
      </c>
      <c r="AJ20" s="817">
        <f t="shared" si="16"/>
        <v>0</v>
      </c>
      <c r="AK20" s="827">
        <f t="shared" si="16"/>
        <v>0</v>
      </c>
      <c r="AL20" s="881">
        <f>IF(ISNUMBER(NºAsuntos!G20/NºAsuntos!E20),NºAsuntos!G20/NºAsuntos!E20," - ")</f>
        <v>1.0134615384615384</v>
      </c>
      <c r="AM20" s="882">
        <f>IF(ISNUMBER(((NºAsuntos!I20/NºAsuntos!G20)*11)/factor_trimestre),((NºAsuntos!I20/NºAsuntos!G20)*11)/factor_trimestre," - ")</f>
        <v>9.5742409867172693</v>
      </c>
      <c r="AN20" s="882">
        <f>IF(ISNUMBER('Resol  Asuntos'!D20/NºAsuntos!G20),'Resol  Asuntos'!D20/NºAsuntos!G20," - ")</f>
        <v>0.14041745730550284</v>
      </c>
      <c r="AO20" s="883">
        <f>IF(ISNUMBER((NºAsuntos!C20+NºAsuntos!E20)/NºAsuntos!G20),(NºAsuntos!C20+NºAsuntos!E20)/NºAsuntos!G20," - ")</f>
        <v>4.1769449715370017</v>
      </c>
      <c r="AP20" s="884" t="str">
        <f t="shared" si="2"/>
        <v xml:space="preserve"> - </v>
      </c>
      <c r="AQ20" s="885">
        <f>IF(OR(ISNUMBER(FIND("01",Criterios!A8,1)),ISNUMBER(FIND("02",Criterios!A8,1)),ISNUMBER(FIND("03",Criterios!A8,1)),ISNUMBER(FIND("04",Criterios!A8,1))),(I20-W20+K20)/(F20-K20),(H20-W20+K20)/(F20-K20))</f>
        <v>-0.4957834869582271</v>
      </c>
      <c r="AR20" s="886">
        <f>IF(ISNUMBER((Datos!P20-Datos!Q20)/(Datos!R20-Datos!P20+Datos!Q20)),(Datos!P20-Datos!Q20)/(Datos!R20-Datos!P20+Datos!Q20)," - ")</f>
        <v>1.8192993239090349E-2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2166.4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3.6147844564602556</v>
      </c>
      <c r="F22" s="251">
        <f>IF(ISNUMBER(STDEV(F8:F19)),STDEV(F8:F19),"-")</f>
        <v>2820.356064991322</v>
      </c>
      <c r="G22" s="252">
        <f>IF(ISNUMBER(STDEV(G8:G19)),STDEV(G8:G19),"-")</f>
        <v>2706.8957866899864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1275.849403338811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130.05332239764837</v>
      </c>
      <c r="AJ22" s="251">
        <f t="shared" si="20"/>
        <v>0</v>
      </c>
      <c r="AK22" s="253">
        <f t="shared" si="20"/>
        <v>0</v>
      </c>
      <c r="AL22" s="248">
        <f t="shared" si="20"/>
        <v>0.109528078048546</v>
      </c>
      <c r="AM22" s="249">
        <f t="shared" si="20"/>
        <v>4.3948260640390808</v>
      </c>
      <c r="AN22" s="249">
        <f t="shared" si="20"/>
        <v>0.11777843728489412</v>
      </c>
      <c r="AO22" s="250">
        <f t="shared" si="20"/>
        <v>1.4855908238010047</v>
      </c>
      <c r="AP22" s="290" t="str">
        <f t="shared" si="20"/>
        <v>-</v>
      </c>
      <c r="AQ22" s="291">
        <f t="shared" si="20"/>
        <v>0.19608318436479927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KI6m63lBg0fHHkMbVITMpETGb4K8g/2LtJtTRrvHz/blaY9LW3jVjsoZidqhQ8CPdMSgVyeAUUnfurWGSG10Q==" saltValue="B/5xPll8apaYMKgFpqXlD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REGION DE MURCIA</v>
      </c>
      <c r="E2" s="262"/>
    </row>
    <row r="3" spans="2:20" ht="17.25" customHeight="1">
      <c r="C3" s="266"/>
      <c r="D3" s="261" t="str">
        <f>Criterios!A10 &amp;"  "&amp;Criterios!B10</f>
        <v>Provincias  MURCIA</v>
      </c>
      <c r="E3" s="262"/>
    </row>
    <row r="4" spans="2:20" ht="17.25" customHeight="1" thickBot="1">
      <c r="D4" s="261" t="str">
        <f>Criterios!A11 &amp;"  "&amp;Criterios!B11</f>
        <v>Resumenes por Partidos Judiciales  SAN JAVIER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5.9405940594059403E-2</v>
      </c>
      <c r="E10" s="347">
        <f>IF(ISNUMBER((Datos!J10-Datos!T10)/Datos!T10),(Datos!J10-Datos!T10)/Datos!T10," - ")</f>
        <v>0.75</v>
      </c>
      <c r="F10" s="347">
        <f>IF(ISNUMBER((Datos!K10-Datos!U10)/Datos!U10),(Datos!K10-Datos!U10)/Datos!U10," - ")</f>
        <v>1.6666666666666667</v>
      </c>
      <c r="G10" s="348">
        <f>IF(ISNUMBER((Datos!L10-Datos!V10)/Datos!V10),(Datos!L10-Datos!V10)/Datos!V10," - ")</f>
        <v>0</v>
      </c>
      <c r="H10" s="229">
        <f>IF(ISNUMBER((Datos!M10-Datos!W10)/Datos!W10),(Datos!M10-Datos!W10)/Datos!W10," - ")</f>
        <v>-0.7142857142857143</v>
      </c>
      <c r="I10" s="349">
        <f>IF(ISNUMBER((Tasas!C10-Datos!BE10)/Datos!BE10),(Tasas!C10-Datos!BE10)/Datos!BE10," - ")</f>
        <v>-0.625</v>
      </c>
      <c r="J10" s="348">
        <f>IF(ISNUMBER((Tasas!D10-Datos!BF10)/Datos!BF10),(Tasas!D10-Datos!BF10)/Datos!BF10," - ")</f>
        <v>-0.89285714285714279</v>
      </c>
      <c r="K10" s="350">
        <f>IF(ISNUMBER((Tasas!E10-Datos!BG10)/Datos!BG10),(Tasas!E10-Datos!BG10)/Datos!BG10," - ")</f>
        <v>-0.5752212389380531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-0.14640883977900551</v>
      </c>
      <c r="I12" s="349">
        <f>IF(ISNUMBER((Tasas!C12-Datos!BE12)/Datos!BE12),(Tasas!C12-Datos!BE12)/Datos!BE12," - ")</f>
        <v>0.11810027428516386</v>
      </c>
      <c r="J12" s="348">
        <f>IF(ISNUMBER((Tasas!D12-Datos!BF12)/Datos!BF12),(Tasas!D12-Datos!BF12)/Datos!BF12," - ")</f>
        <v>-0.65300295458635793</v>
      </c>
      <c r="K12" s="350">
        <f>IF(ISNUMBER((Tasas!E12-Datos!BG12)/Datos!BG12),(Tasas!E12-Datos!BG12)/Datos!BG12," - ")</f>
        <v>9.5699367288072934E-2</v>
      </c>
      <c r="M12" t="e">
        <f>IF(Monitorios="SI",Datos!CE12,0)</f>
        <v>#REF!</v>
      </c>
      <c r="N12" t="e">
        <f>IF(Monitorios="SI",Datos!CF12,0)</f>
        <v>#REF!</v>
      </c>
      <c r="O12" t="e">
        <f>IF(Monitorios="SI",Datos!CG12,0)</f>
        <v>#REF!</v>
      </c>
      <c r="P12" t="e">
        <f>IF(Monitorios="SI",Datos!CH12,0)</f>
        <v>#REF!</v>
      </c>
      <c r="Q12">
        <f>IF(J_V="SI",0,Datos!AG12)</f>
        <v>157</v>
      </c>
      <c r="R12">
        <f>IF(J_V="SI",0,Datos!AH12)</f>
        <v>138</v>
      </c>
      <c r="S12">
        <f>IF(J_V="SI",0,Datos!AI12)</f>
        <v>100</v>
      </c>
      <c r="T12">
        <f>IF(J_V="SI",0,Datos!AJ12)</f>
        <v>195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-0.15718157181571815</v>
      </c>
      <c r="I13" s="356">
        <f>IF(ISNUMBER((Tasas!C13-Datos!BE13)/Datos!BE13),(Tasas!C13-Datos!BE13)/Datos!BE13," - ")</f>
        <v>0.10723836640174297</v>
      </c>
      <c r="J13" s="354">
        <f>IF(ISNUMBER((Tasas!D13-Datos!BF13)/Datos!BF13),(Tasas!D13-Datos!BF13)/Datos!BF13," - ")</f>
        <v>-0.65646498996917357</v>
      </c>
      <c r="K13" s="357">
        <f>IF(ISNUMBER((Tasas!E13-Datos!BG13)/Datos!BG13),(Tasas!E13-Datos!BG13)/Datos!BG13," - ")</f>
        <v>8.703679242432065E-2</v>
      </c>
      <c r="M13" t="e">
        <f>IF(Monitorios="SI",Datos!CE13,0)</f>
        <v>#REF!</v>
      </c>
      <c r="N13" t="e">
        <f>IF(Monitorios="SI",Datos!CF13,0)</f>
        <v>#REF!</v>
      </c>
      <c r="O13" t="e">
        <f>IF(Monitorios="SI",Datos!CG13,0)</f>
        <v>#REF!</v>
      </c>
      <c r="P13" t="e">
        <f>IF(Monitorios="SI",Datos!CH13,0)</f>
        <v>#REF!</v>
      </c>
      <c r="Q13">
        <f>IF(J_V="SI",0,Datos!AG13)</f>
        <v>157</v>
      </c>
      <c r="R13">
        <f>IF(J_V="SI",0,Datos!AH13)</f>
        <v>138</v>
      </c>
      <c r="S13">
        <f>IF(J_V="SI",0,Datos!AI13)</f>
        <v>100</v>
      </c>
      <c r="T13">
        <f>IF(J_V="SI",0,Datos!AJ13)</f>
        <v>195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0.37573058725299191</v>
      </c>
      <c r="E17" s="347">
        <f>IF(ISNUMBER(
   IF(D_I="SI",(Datos!J17-Datos!T17)/Datos!T17,(Datos!J17+Datos!AD17-(Datos!T17+Datos!AL17))/(Datos!T17+Datos!AL17))
     ),IF(D_I="SI",(Datos!J17-Datos!T17)/Datos!T17,(Datos!J17+Datos!AD17-(Datos!T17+Datos!AL17))/(Datos!T17+Datos!AL17))," - ")</f>
        <v>0.31934731934731936</v>
      </c>
      <c r="F17" s="347">
        <f>IF(ISNUMBER(
   IF(D_I="SI",(Datos!K17-Datos!U17)/Datos!U17,(Datos!K17+Datos!AE17-(Datos!U17+Datos!AM17))/(Datos!U17+Datos!AM17))
     ),IF(D_I="SI",(Datos!K17-Datos!U17)/Datos!U17,(Datos!K17+Datos!AE17-(Datos!U17+Datos!AM17))/(Datos!U17+Datos!AM17))," - ")</f>
        <v>0.58093278463648834</v>
      </c>
      <c r="G17" s="348">
        <f>IF(ISNUMBER(
   IF(D_I="SI",(Datos!L17-Datos!V17)/Datos!V17,(Datos!L17+Datos!AF17-(Datos!V17+Datos!AN17))/(Datos!V17+Datos!AN17))
     ),IF(D_I="SI",(Datos!L17-Datos!V17)/Datos!V17,(Datos!L17+Datos!AF17-(Datos!V17+Datos!AN17))/(Datos!V17+Datos!AN17))," - ")</f>
        <v>0.29845266194597431</v>
      </c>
      <c r="H17" s="229">
        <f>IF(ISNUMBER((Datos!M17-Datos!W17)/Datos!W17),(Datos!M17-Datos!W17)/Datos!W17," - ")</f>
        <v>-0.18218623481781376</v>
      </c>
      <c r="I17" s="349">
        <f>IF(ISNUMBER((Tasas!C17-Datos!BE17)/Datos!BE17),(Tasas!C17-Datos!BE17)/Datos!BE17," - ")</f>
        <v>-0.17867940081681963</v>
      </c>
      <c r="J17" s="348">
        <f>IF(ISNUMBER((Tasas!D17-Datos!BF17)/Datos!BF17),(Tasas!D17-Datos!BF17)/Datos!BF17," - ")</f>
        <v>-0.48270174853118103</v>
      </c>
      <c r="K17" s="350">
        <f>IF(ISNUMBER((Tasas!E17-Datos!BG17)/Datos!BG17),(Tasas!E17-Datos!BG17)/Datos!BG17," - ")</f>
        <v>-0.14132584580924876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1.1279069767441861</v>
      </c>
      <c r="E18" s="347">
        <f>IF(ISNUMBER(
   IF(D_I="SI",(Datos!J18-Datos!T18)/Datos!T18,(Datos!J18+Datos!AD18-(Datos!T18+Datos!AL18))/(Datos!T18+Datos!AL18))
     ),IF(D_I="SI",(Datos!J18-Datos!T18)/Datos!T18,(Datos!J18+Datos!AD18-(Datos!T18+Datos!AL18))/(Datos!T18+Datos!AL18))," - ")</f>
        <v>-6.5088757396449703E-2</v>
      </c>
      <c r="F18" s="347">
        <f>IF(ISNUMBER(
   IF(D_I="SI",(Datos!K18-Datos!U18)/Datos!U18,(Datos!K18+Datos!AE18-(Datos!U18+Datos!AM18))/(Datos!U18+Datos!AM18))
     ),IF(D_I="SI",(Datos!K18-Datos!U18)/Datos!U18,(Datos!K18+Datos!AE18-(Datos!U18+Datos!AM18))/(Datos!U18+Datos!AM18))," - ")</f>
        <v>0.3724137931034483</v>
      </c>
      <c r="G18" s="348">
        <f>IF(ISNUMBER(
   IF(D_I="SI",(Datos!L18-Datos!V18)/Datos!V18,(Datos!L18+Datos!AF18-(Datos!V18+Datos!AN18))/(Datos!V18+Datos!AN18))
     ),IF(D_I="SI",(Datos!L18-Datos!V18)/Datos!V18,(Datos!L18+Datos!AF18-(Datos!V18+Datos!AN18))/(Datos!V18+Datos!AN18))," - ")</f>
        <v>0.71938775510204078</v>
      </c>
      <c r="H18" s="229">
        <f>IF(ISNUMBER((Datos!M18-Datos!W18)/Datos!W18),(Datos!M18-Datos!W18)/Datos!W18," - ")</f>
        <v>-4.8192771084337352E-2</v>
      </c>
      <c r="I18" s="349">
        <f>IF(ISNUMBER((Tasas!C18-Datos!BE18)/Datos!BE18),(Tasas!C18-Datos!BE18)/Datos!BE18," - ")</f>
        <v>0.25282022356681355</v>
      </c>
      <c r="J18" s="348">
        <f>IF(ISNUMBER((Tasas!D18-Datos!BF18)/Datos!BF18),(Tasas!D18-Datos!BF18)/Datos!BF18," - ")</f>
        <v>-0.3064721196343162</v>
      </c>
      <c r="K18" s="350">
        <f>IF(ISNUMBER((Tasas!E18-Datos!BG18)/Datos!BG18),(Tasas!E18-Datos!BG18)/Datos!BG18," - ")</f>
        <v>0.11967461943146811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0.41009296148738378</v>
      </c>
      <c r="E19" s="353">
        <f>IF(ISNUMBER(
   IF(D_I="SI",(Datos!J19-Datos!T19)/Datos!T19,(Datos!J19+Datos!AD19-(Datos!T19+Datos!AL19))/(Datos!T19+Datos!AL19))
     ),IF(D_I="SI",(Datos!J19-Datos!T19)/Datos!T19,(Datos!J19+Datos!AD19-(Datos!T19+Datos!AL19))/(Datos!T19+Datos!AL19))," - ")</f>
        <v>0.28488063660477453</v>
      </c>
      <c r="F19" s="353">
        <f>IF(ISNUMBER(
   IF(D_I="SI",(Datos!K19-Datos!U19)/Datos!U19,(Datos!K19+Datos!AE19-(Datos!U19+Datos!AM19))/(Datos!U19+Datos!AM19))
     ),IF(D_I="SI",(Datos!K19-Datos!U19)/Datos!U19,(Datos!K19+Datos!AE19-(Datos!U19+Datos!AM19))/(Datos!U19+Datos!AM19))," - ")</f>
        <v>0.56207111665626952</v>
      </c>
      <c r="G19" s="354">
        <f>IF(ISNUMBER(
   IF(D_I="SI",(Datos!L19-Datos!V19)/Datos!V19,(Datos!L19+Datos!AF19-(Datos!V19+Datos!AN19))/(Datos!V19+Datos!AN19))
     ),IF(D_I="SI",(Datos!L19-Datos!V19)/Datos!V19,(Datos!L19+Datos!AF19-(Datos!V19+Datos!AN19))/(Datos!V19+Datos!AN19))," - ")</f>
        <v>0.31903217760039909</v>
      </c>
      <c r="H19" s="355">
        <f>IF(ISNUMBER((Datos!M19-Datos!W19)/Datos!W19),(Datos!M19-Datos!W19)/Datos!W19," - ")</f>
        <v>-0.1484848484848485</v>
      </c>
      <c r="I19" s="356">
        <f>IF(ISNUMBER((Tasas!C19-Datos!BE19)/Datos!BE19),(Tasas!C19-Datos!BE19)/Datos!BE19," - ")</f>
        <v>-0.15558762751859448</v>
      </c>
      <c r="J19" s="354">
        <f>IF(ISNUMBER((Tasas!D19-Datos!BF19)/Datos!BF19),(Tasas!D19-Datos!BF19)/Datos!BF19," - ")</f>
        <v>-0.45488067576725727</v>
      </c>
      <c r="K19" s="357">
        <f>IF(ISNUMBER((Tasas!E19-Datos!BG19)/Datos!BG19),(Tasas!E19-Datos!BG19)/Datos!BG19," - ")</f>
        <v>-0.12403566682688225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0.19110874955720863</v>
      </c>
      <c r="E20" s="362">
        <f>IF(ISNUMBER(
   IF(J_V="SI",(Datos!J20-Datos!T20)/Datos!T20,(Datos!J20+Datos!Z20-(Datos!T20+Datos!AH20))/(Datos!T20+Datos!AH20))
     ),IF(J_V="SI",(Datos!J20-Datos!T20)/Datos!T20,(Datos!J20+Datos!Z20-(Datos!T20+Datos!AH20))/(Datos!T20+Datos!AH20))," - ")</f>
        <v>5.4499366286438533E-2</v>
      </c>
      <c r="F20" s="362">
        <f>IF(ISNUMBER(
   IF(J_V="SI",(Datos!K20-Datos!U20)/Datos!U20,(Datos!K20+Datos!AA20-(Datos!U20+Datos!AI20))/(Datos!U20+Datos!AI20))
     ),IF(J_V="SI",(Datos!K20-Datos!U20)/Datos!U20,(Datos!K20+Datos!AA20-(Datos!U20+Datos!AI20))/(Datos!U20+Datos!AI20))," - ")</f>
        <v>0.23672631270167205</v>
      </c>
      <c r="G20" s="363">
        <f>IF(ISNUMBER(
   IF(J_V="SI",(Datos!L20-Datos!V20)/Datos!V20,(Datos!L20+Datos!AB20-(Datos!V20+Datos!AJ20))/(Datos!V20+Datos!AJ20))
     ),IF(J_V="SI",(Datos!L20-Datos!V20)/Datos!V20,(Datos!L20+Datos!AB20-(Datos!V20+Datos!AJ20))/(Datos!V20+Datos!AJ20))," - ")</f>
        <v>0.14122137404580154</v>
      </c>
      <c r="H20" s="364">
        <f>IF(ISNUMBER((Datos!M20-Datos!W20)/Datos!W20),(Datos!M20-Datos!W20)/Datos!W20," - ")</f>
        <v>-0.1530758226037196</v>
      </c>
      <c r="I20" s="361">
        <f>IF(ISNUMBER((Tasas!C20-Datos!BE20)/Datos!BE20),(Tasas!C20-Datos!BE20)/Datos!BE20," - ")</f>
        <v>-7.7223988585830794E-2</v>
      </c>
      <c r="J20" s="362">
        <f>IF(ISNUMBER((Tasas!D20-Datos!BF20)/Datos!BF20),(Tasas!D20-Datos!BF20)/Datos!BF20," - ")</f>
        <v>-0.62748395956851433</v>
      </c>
      <c r="K20" s="363">
        <f>IF(ISNUMBER((Tasas!E20-Datos!BG20)/Datos!BG20),(Tasas!E20-Datos!BG20)/Datos!BG20," - ")</f>
        <v>-6.5484976834702391E-2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0.45156618074679378</v>
      </c>
      <c r="E22" s="277">
        <f t="shared" si="1"/>
        <v>0.33386936842269221</v>
      </c>
      <c r="F22" s="277">
        <f t="shared" si="1"/>
        <v>0.58834837505398074</v>
      </c>
      <c r="G22" s="278">
        <f t="shared" si="1"/>
        <v>0.29527793707925909</v>
      </c>
      <c r="H22" s="284">
        <f t="shared" si="1"/>
        <v>0.24031674876091383</v>
      </c>
      <c r="I22" s="276">
        <f t="shared" si="1"/>
        <v>0.31545114824577786</v>
      </c>
      <c r="J22" s="277">
        <f t="shared" si="1"/>
        <v>0.20435597670764205</v>
      </c>
      <c r="K22" s="278">
        <f t="shared" si="1"/>
        <v>0.2642050679870892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TRcegcZGKuKCytx0w6FId+JwjfMePfxsyfUHelogaN2oMP9reZkuOhLYusbvTjLCJrjRbn+0+4X3JxoOBawCw==" saltValue="SfUzbcO5hsYbX91J9vVEx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REGION DE MURCIA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107</v>
      </c>
      <c r="D10" s="224">
        <f>IF(ISNUMBER(Datos!I10),Datos!I10," - ")</f>
        <v>107</v>
      </c>
      <c r="E10" s="225">
        <f>IF(ISNUMBER(Datos!J10),Datos!J10," - ")</f>
        <v>21</v>
      </c>
      <c r="F10" s="225">
        <f>IF(ISNUMBER(Datos!K10),Datos!K10," - ")</f>
        <v>24</v>
      </c>
      <c r="G10" s="1029" t="str">
        <f>IF(Datos!E10&lt;&gt;"",Datos!E10,Datos!D10)</f>
        <v>37</v>
      </c>
      <c r="H10" s="226">
        <f>IF(ISNUMBER(Datos!L10),Datos!L10," - ")</f>
        <v>104</v>
      </c>
      <c r="I10" s="1039" t="str">
        <f>IF(ISNUMBER(Datos!AS10/Datos!BM10),Datos!AS10/Datos!BM10," - ")</f>
        <v xml:space="preserve"> - </v>
      </c>
      <c r="J10" s="1040">
        <f>IF(ISNUMBER(Datos!BY10/Datos!CN10),Datos!BY10/Datos!CN10," - ")</f>
        <v>0</v>
      </c>
      <c r="K10" s="229">
        <f t="shared" ref="K10:K12" si="1">IF(ISNUMBER((E10-F10)/C10),(E10-F10)/C10," - ")</f>
        <v>-2.8037383177570093E-2</v>
      </c>
      <c r="L10" s="1020">
        <f>IF(ISNUMBER(NºAsuntos!I10/NºAsuntos!G10),(NºAsuntos!I10/NºAsuntos!G10)*11," - ")</f>
        <v>47.666666666666664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52.54324644549763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107</v>
      </c>
      <c r="D13" s="1044">
        <f>SUBTOTAL(9,D9:D12)</f>
        <v>107</v>
      </c>
      <c r="E13" s="1045">
        <f>SUBTOTAL(9,E9:E12)</f>
        <v>21</v>
      </c>
      <c r="F13" s="1046">
        <f>SUBTOTAL(9,F9:F12)</f>
        <v>24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4992</v>
      </c>
      <c r="D17" s="224">
        <f>IF(ISNUMBER(IF(D_I="SI",Datos!I17,Datos!I17+Datos!AC17)),IF(D_I="SI",Datos!I17,Datos!I17+Datos!AC17)," - ")</f>
        <v>4943</v>
      </c>
      <c r="E17" s="225">
        <f>IF(ISNUMBER(IF(D_I="SI",Datos!J17,Datos!J17+Datos!AD17)),IF(D_I="SI",Datos!J17,Datos!J17+Datos!AD17)," - ")</f>
        <v>2264</v>
      </c>
      <c r="F17" s="225">
        <f>IF(ISNUMBER(IF(D_I="SI",Datos!K17,Datos!K17+Datos!AE17)),IF(D_I="SI",Datos!K17,Datos!K17+Datos!AE17)," - ")</f>
        <v>2305</v>
      </c>
      <c r="G17" s="1029" t="str">
        <f>IF(Datos!E17&lt;&gt;"",Datos!E17,Datos!D17)</f>
        <v>04</v>
      </c>
      <c r="H17" s="226">
        <f>IF(ISNUMBER(IF(D_I="SI",Datos!L17,Datos!L17+Datos!AF17)),IF(D_I="SI",Datos!L17,Datos!L17+Datos!AF17)," - ")</f>
        <v>4951</v>
      </c>
      <c r="I17" s="1039" t="str">
        <f>IF(ISNUMBER(Datos!AS17/Datos!BM17),Datos!AS17/Datos!BM17," - ")</f>
        <v xml:space="preserve"> - </v>
      </c>
      <c r="J17" s="1040">
        <f>IF(ISNUMBER(Datos!BY17/Datos!CN17),Datos!BY17/Datos!CN17," - ")</f>
        <v>0</v>
      </c>
      <c r="K17" s="229">
        <f t="shared" si="3"/>
        <v>-8.213141025641026E-3</v>
      </c>
      <c r="L17" s="1020">
        <f>IF(ISNUMBER(NºAsuntos!I17/NºAsuntos!G17),(NºAsuntos!I17/NºAsuntos!G17)*11," - ")</f>
        <v>23.627331887201738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378</v>
      </c>
      <c r="D18" s="224">
        <f>IF(ISNUMBER(IF(D_I="SI",Datos!I18,Datos!I18+Datos!AC18)),IF(D_I="SI",Datos!I18,Datos!I18+Datos!AC18)," - ")</f>
        <v>366</v>
      </c>
      <c r="E18" s="225">
        <f>IF(ISNUMBER(IF(D_I="SI",Datos!J18,Datos!J18+Datos!AD18)),IF(D_I="SI",Datos!J18,Datos!J18+Datos!AD18)," - ")</f>
        <v>158</v>
      </c>
      <c r="F18" s="225">
        <f>IF(ISNUMBER(IF(D_I="SI",Datos!K18,Datos!K18+Datos!AE18)),IF(D_I="SI",Datos!K18,Datos!K18+Datos!AE18)," - ")</f>
        <v>199</v>
      </c>
      <c r="G18" s="1029" t="str">
        <f>IF(Datos!E18&lt;&gt;"",Datos!E18,Datos!D18)</f>
        <v>37</v>
      </c>
      <c r="H18" s="226">
        <f>IF(ISNUMBER(IF(D_I="SI",Datos!L18,Datos!L18+Datos!AF18)),IF(D_I="SI",Datos!L18,Datos!L18+Datos!AF18)," - ")</f>
        <v>337</v>
      </c>
      <c r="I18" s="1039" t="str">
        <f>IF(ISNUMBER(Datos!AS18/Datos!BM18),Datos!AS18/Datos!BM18," - ")</f>
        <v xml:space="preserve"> - </v>
      </c>
      <c r="J18" s="1040" t="str">
        <f>IF(ISNUMBER((Datos!BY18+Datos!BZ18)/Datos!CN18),(Datos!BY18+Datos!BZ18)/Datos!CN18," - ")</f>
        <v xml:space="preserve"> - </v>
      </c>
      <c r="K18" s="229">
        <f t="shared" si="3"/>
        <v>-0.10846560846560846</v>
      </c>
      <c r="L18" s="1020">
        <f>IF(ISNUMBER(NºAsuntos!I18/NºAsuntos!G18),(NºAsuntos!I18/NºAsuntos!G18)*11," - ")</f>
        <v>18.628140703517587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5370</v>
      </c>
      <c r="D19" s="1044">
        <f>SUBTOTAL(9,D15:D18)</f>
        <v>5309</v>
      </c>
      <c r="E19" s="1045">
        <f>SUBTOTAL(9,E15:E18)</f>
        <v>2422</v>
      </c>
      <c r="F19" s="1045">
        <f>SUBTOTAL(9,F15:F18)</f>
        <v>2504</v>
      </c>
      <c r="G19" s="1047" t="str">
        <f ca="1">INDIRECT(CONCATENATE("G",ROW()-1))</f>
        <v>37</v>
      </c>
      <c r="H19" s="1048">
        <f ca="1">SUMIF(G$14:G18,G19,H$14:H18)</f>
        <v>337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5477</v>
      </c>
      <c r="D20" s="1066">
        <f>SUBTOTAL(9,D9:D19)</f>
        <v>5416</v>
      </c>
      <c r="E20" s="1067">
        <f>SUBTOTAL(9,E9:E19)</f>
        <v>2443</v>
      </c>
      <c r="F20" s="1067">
        <f>SUBTOTAL(9,F9:F19)</f>
        <v>2528</v>
      </c>
      <c r="G20" s="1068"/>
      <c r="H20" s="1069">
        <f ca="1">SUMIF(B9:B19,"TOTAL",H9:H19)</f>
        <v>337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T7aqdWo4tua6z+d3z0z8r5KGxNzbDatYtJcdgu/mN4egEtsqaTc7wGbea179p3frZ88Gr7zxTLYrcFt0nHv6iA==" saltValue="iRlHdH2gGMTSpfGLMkU9w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8IKqUbv/rzR4sgoCNfeScPkFJs8ug9TBepmk/7mK2CdIOasynPtY2nvO1QGumar+TL6CI53nX68WA2hNK18mw==" saltValue="KkVHDdLw2slHJm0dsYF5E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107</v>
      </c>
      <c r="J10" s="180">
        <v>21</v>
      </c>
      <c r="K10" s="180">
        <v>24</v>
      </c>
      <c r="L10" s="180">
        <v>104</v>
      </c>
      <c r="M10" s="180">
        <v>2</v>
      </c>
      <c r="N10" s="180">
        <v>8</v>
      </c>
      <c r="O10" s="180">
        <v>0</v>
      </c>
      <c r="P10" s="180">
        <v>4</v>
      </c>
      <c r="Q10" s="180">
        <v>3</v>
      </c>
      <c r="R10" s="180">
        <v>29</v>
      </c>
      <c r="S10" s="180">
        <v>101</v>
      </c>
      <c r="T10" s="180">
        <v>12</v>
      </c>
      <c r="U10" s="180">
        <v>9</v>
      </c>
      <c r="V10" s="180">
        <v>104</v>
      </c>
      <c r="W10" s="180">
        <v>7</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101</v>
      </c>
      <c r="AZ10" s="129">
        <f t="shared" si="0"/>
        <v>12</v>
      </c>
      <c r="BA10" s="129">
        <f t="shared" si="0"/>
        <v>9</v>
      </c>
      <c r="BB10" s="129">
        <f t="shared" si="0"/>
        <v>104</v>
      </c>
      <c r="BC10" s="125">
        <f t="shared" si="0"/>
        <v>7</v>
      </c>
      <c r="BD10" s="126">
        <f>IF(ISNUMBER(BA10/AZ10),BA10/AZ10," - ")</f>
        <v>0.75</v>
      </c>
      <c r="BE10" s="127">
        <f>IF(ISNUMBER(BB10/BA10),BB10/BA10, " - ")</f>
        <v>11.555555555555555</v>
      </c>
      <c r="BF10" s="127">
        <f>IF(ISNUMBER(BC10/BA10),BC10/BA10, " - ")</f>
        <v>0.77777777777777779</v>
      </c>
      <c r="BG10" s="195">
        <f>IF(ISNUMBER((AY10+AZ10)/BA10),(AY10+AZ10)/BA10," - ")</f>
        <v>12.555555555555555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7762</v>
      </c>
      <c r="J12" s="182">
        <v>1606</v>
      </c>
      <c r="K12" s="182">
        <v>1539</v>
      </c>
      <c r="L12" s="182">
        <v>7829</v>
      </c>
      <c r="M12" s="182">
        <v>309</v>
      </c>
      <c r="N12" s="182">
        <v>812</v>
      </c>
      <c r="O12" s="180">
        <v>694</v>
      </c>
      <c r="P12" s="182">
        <v>473</v>
      </c>
      <c r="Q12" s="182">
        <v>354</v>
      </c>
      <c r="R12" s="182">
        <v>7764</v>
      </c>
      <c r="S12" s="182">
        <v>7269</v>
      </c>
      <c r="T12" s="182">
        <v>1910</v>
      </c>
      <c r="U12" s="182">
        <v>1697</v>
      </c>
      <c r="V12" s="182">
        <v>7482</v>
      </c>
      <c r="W12" s="182">
        <v>362</v>
      </c>
      <c r="X12" s="188">
        <v>948</v>
      </c>
      <c r="Y12" s="190">
        <v>272</v>
      </c>
      <c r="Z12" s="180">
        <v>111</v>
      </c>
      <c r="AA12" s="180">
        <v>149</v>
      </c>
      <c r="AB12" s="180">
        <v>234</v>
      </c>
      <c r="AC12" s="182">
        <v>0</v>
      </c>
      <c r="AD12" s="182">
        <v>0</v>
      </c>
      <c r="AE12" s="182">
        <v>0</v>
      </c>
      <c r="AF12" s="188">
        <v>0</v>
      </c>
      <c r="AG12" s="201">
        <v>157</v>
      </c>
      <c r="AH12" s="182">
        <v>138</v>
      </c>
      <c r="AI12" s="182">
        <v>100</v>
      </c>
      <c r="AJ12" s="202">
        <v>195</v>
      </c>
      <c r="AK12" s="181">
        <v>0</v>
      </c>
      <c r="AL12" s="182">
        <v>0</v>
      </c>
      <c r="AM12" s="182">
        <v>0</v>
      </c>
      <c r="AN12" s="188">
        <v>0</v>
      </c>
      <c r="AO12" s="258">
        <v>7</v>
      </c>
      <c r="AP12" s="154">
        <v>7</v>
      </c>
      <c r="AQ12" s="154">
        <v>7</v>
      </c>
      <c r="AR12" s="153">
        <v>7</v>
      </c>
      <c r="AS12" s="339" t="s">
        <v>766</v>
      </c>
      <c r="AT12" s="202"/>
      <c r="AU12" s="201"/>
      <c r="AV12" s="202"/>
      <c r="AW12" s="201"/>
      <c r="AX12" s="202"/>
      <c r="AY12" s="126">
        <f t="shared" si="1"/>
        <v>7426</v>
      </c>
      <c r="AZ12" s="127">
        <f t="shared" si="1"/>
        <v>2048</v>
      </c>
      <c r="BA12" s="127">
        <f t="shared" si="1"/>
        <v>1797</v>
      </c>
      <c r="BB12" s="127">
        <f t="shared" si="1"/>
        <v>7677</v>
      </c>
      <c r="BC12" s="125">
        <f>IF(ISNUMBER(X12),X12," - ")</f>
        <v>948</v>
      </c>
      <c r="BD12" s="126">
        <f t="shared" si="2"/>
        <v>0.87744140625</v>
      </c>
      <c r="BE12" s="127">
        <f t="shared" si="3"/>
        <v>4.2721202003338901</v>
      </c>
      <c r="BF12" s="127">
        <f t="shared" si="4"/>
        <v>0.52754590984974958</v>
      </c>
      <c r="BG12" s="195">
        <f t="shared" si="5"/>
        <v>5.2721202003338901</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7869</v>
      </c>
      <c r="J13" s="183">
        <f t="shared" si="6"/>
        <v>1627</v>
      </c>
      <c r="K13" s="183">
        <f t="shared" si="6"/>
        <v>1563</v>
      </c>
      <c r="L13" s="183">
        <f t="shared" si="6"/>
        <v>7933</v>
      </c>
      <c r="M13" s="183">
        <f t="shared" si="6"/>
        <v>311</v>
      </c>
      <c r="N13" s="183">
        <f t="shared" si="6"/>
        <v>820</v>
      </c>
      <c r="O13" s="183">
        <f t="shared" si="6"/>
        <v>694</v>
      </c>
      <c r="P13" s="183">
        <f t="shared" si="6"/>
        <v>477</v>
      </c>
      <c r="Q13" s="183">
        <f t="shared" si="6"/>
        <v>357</v>
      </c>
      <c r="R13" s="183">
        <f t="shared" si="6"/>
        <v>7793</v>
      </c>
      <c r="S13" s="183">
        <f t="shared" si="6"/>
        <v>7370</v>
      </c>
      <c r="T13" s="183">
        <f t="shared" si="6"/>
        <v>1922</v>
      </c>
      <c r="U13" s="183">
        <f t="shared" si="6"/>
        <v>1706</v>
      </c>
      <c r="V13" s="183">
        <f t="shared" si="6"/>
        <v>7586</v>
      </c>
      <c r="W13" s="183">
        <f t="shared" si="6"/>
        <v>369</v>
      </c>
      <c r="X13" s="183">
        <f t="shared" si="6"/>
        <v>949</v>
      </c>
      <c r="Y13" s="183">
        <f t="shared" si="6"/>
        <v>272</v>
      </c>
      <c r="Z13" s="183">
        <f t="shared" si="6"/>
        <v>111</v>
      </c>
      <c r="AA13" s="183">
        <f t="shared" si="6"/>
        <v>149</v>
      </c>
      <c r="AB13" s="183">
        <f t="shared" si="6"/>
        <v>234</v>
      </c>
      <c r="AC13" s="183">
        <f t="shared" si="6"/>
        <v>0</v>
      </c>
      <c r="AD13" s="183">
        <f t="shared" si="6"/>
        <v>0</v>
      </c>
      <c r="AE13" s="183">
        <f t="shared" si="6"/>
        <v>0</v>
      </c>
      <c r="AF13" s="183">
        <f>SUBTOTAL(9,AF9:AF12)</f>
        <v>0</v>
      </c>
      <c r="AG13" s="183">
        <f t="shared" ref="AG13:AT13" si="7">SUBTOTAL(9,AG8:AG12)</f>
        <v>157</v>
      </c>
      <c r="AH13" s="183">
        <f t="shared" si="7"/>
        <v>138</v>
      </c>
      <c r="AI13" s="183">
        <f t="shared" si="7"/>
        <v>100</v>
      </c>
      <c r="AJ13" s="183">
        <f t="shared" si="7"/>
        <v>195</v>
      </c>
      <c r="AK13" s="183">
        <f t="shared" si="7"/>
        <v>0</v>
      </c>
      <c r="AL13" s="183">
        <f t="shared" si="7"/>
        <v>0</v>
      </c>
      <c r="AM13" s="183">
        <f t="shared" si="7"/>
        <v>0</v>
      </c>
      <c r="AN13" s="183">
        <f t="shared" si="7"/>
        <v>0</v>
      </c>
      <c r="AO13" s="183">
        <f t="shared" si="7"/>
        <v>8</v>
      </c>
      <c r="AP13" s="183">
        <f t="shared" si="7"/>
        <v>7</v>
      </c>
      <c r="AQ13" s="183">
        <f t="shared" si="7"/>
        <v>7</v>
      </c>
      <c r="AR13" s="183">
        <f t="shared" si="7"/>
        <v>7</v>
      </c>
      <c r="AS13" s="183">
        <f t="shared" si="7"/>
        <v>0</v>
      </c>
      <c r="AT13" s="183">
        <f t="shared" si="7"/>
        <v>0</v>
      </c>
      <c r="AU13" s="203"/>
      <c r="AV13" s="132"/>
      <c r="AW13" s="203"/>
      <c r="AX13" s="132"/>
      <c r="AY13" s="183">
        <f>SUBTOTAL(9,AY8:AY12)</f>
        <v>7527</v>
      </c>
      <c r="AZ13" s="183">
        <f>SUBTOTAL(9,AZ8:AZ12)</f>
        <v>2060</v>
      </c>
      <c r="BA13" s="183">
        <f>SUBTOTAL(9,BA8:BA12)</f>
        <v>1806</v>
      </c>
      <c r="BB13" s="183">
        <f>SUBTOTAL(9,BB8:BB12)</f>
        <v>7781</v>
      </c>
      <c r="BC13" s="183">
        <f>SUBTOTAL(9,BC8:BC12)</f>
        <v>955</v>
      </c>
      <c r="BD13" s="204">
        <f>IF(ISNUMBER(BA13/AZ13),BA13/AZ13," - ")</f>
        <v>0.87669902912621356</v>
      </c>
      <c r="BE13" s="205">
        <f>IF(ISNUMBER(BB13/BA13),BB13/BA13, " - ")</f>
        <v>4.3084163898117387</v>
      </c>
      <c r="BF13" s="205">
        <f>IF(ISNUMBER(BC13/BA13),BC13/BA13, " - ")</f>
        <v>0.52879291251384275</v>
      </c>
      <c r="BG13" s="206">
        <f>IF(ISNUMBER((AY13+AZ13)/BA13),(AY13+AZ13)/BA13," - ")</f>
        <v>5.3084163898117387</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4943</v>
      </c>
      <c r="J17" s="182">
        <v>2264</v>
      </c>
      <c r="K17" s="182">
        <v>2305</v>
      </c>
      <c r="L17" s="182">
        <v>4951</v>
      </c>
      <c r="M17" s="182">
        <v>202</v>
      </c>
      <c r="N17" s="182">
        <v>1398</v>
      </c>
      <c r="O17" s="180">
        <v>6</v>
      </c>
      <c r="P17" s="182">
        <v>50</v>
      </c>
      <c r="Q17" s="182">
        <v>22</v>
      </c>
      <c r="R17" s="182">
        <v>483</v>
      </c>
      <c r="S17" s="182">
        <v>3593</v>
      </c>
      <c r="T17" s="182">
        <v>1716</v>
      </c>
      <c r="U17" s="182">
        <v>1458</v>
      </c>
      <c r="V17" s="182">
        <v>3813</v>
      </c>
      <c r="W17" s="182">
        <v>247</v>
      </c>
      <c r="X17" s="188">
        <v>825</v>
      </c>
      <c r="Y17" s="201">
        <v>0</v>
      </c>
      <c r="Z17" s="182">
        <v>0</v>
      </c>
      <c r="AA17" s="182">
        <v>0</v>
      </c>
      <c r="AB17" s="182">
        <v>0</v>
      </c>
      <c r="AC17" s="182">
        <v>14</v>
      </c>
      <c r="AD17" s="182">
        <v>0</v>
      </c>
      <c r="AE17" s="182">
        <v>0</v>
      </c>
      <c r="AF17" s="188">
        <v>14</v>
      </c>
      <c r="AG17" s="201">
        <v>0</v>
      </c>
      <c r="AH17" s="182">
        <v>0</v>
      </c>
      <c r="AI17" s="182">
        <v>0</v>
      </c>
      <c r="AJ17" s="202">
        <v>0</v>
      </c>
      <c r="AK17" s="181">
        <v>14</v>
      </c>
      <c r="AL17" s="182">
        <v>0</v>
      </c>
      <c r="AM17" s="182">
        <v>0</v>
      </c>
      <c r="AN17" s="188">
        <v>14</v>
      </c>
      <c r="AO17" s="258">
        <v>7</v>
      </c>
      <c r="AP17" s="154">
        <v>7</v>
      </c>
      <c r="AQ17" s="154">
        <v>7</v>
      </c>
      <c r="AR17" s="154">
        <v>7</v>
      </c>
      <c r="AS17" s="339" t="s">
        <v>486</v>
      </c>
      <c r="AT17" s="202"/>
      <c r="AU17" s="201"/>
      <c r="AV17" s="202"/>
      <c r="AW17" s="201"/>
      <c r="AX17" s="202"/>
      <c r="AY17" s="126">
        <f t="shared" si="9"/>
        <v>3593</v>
      </c>
      <c r="AZ17" s="127">
        <f t="shared" si="9"/>
        <v>1716</v>
      </c>
      <c r="BA17" s="127">
        <f t="shared" si="9"/>
        <v>1458</v>
      </c>
      <c r="BB17" s="127">
        <f t="shared" si="9"/>
        <v>3813</v>
      </c>
      <c r="BC17" s="125">
        <f>IF(ISNUMBER(W17),W17," - ")</f>
        <v>247</v>
      </c>
      <c r="BD17" s="126">
        <f t="shared" ref="BD17" si="16">IF(ISNUMBER(BA17/AZ17),BA17/AZ17," - ")</f>
        <v>0.84965034965034969</v>
      </c>
      <c r="BE17" s="127">
        <f t="shared" ref="BE17" si="17">IF(ISNUMBER(BB17/BA17),BB17/BA17, " - ")</f>
        <v>2.6152263374485596</v>
      </c>
      <c r="BF17" s="127">
        <f t="shared" ref="BF17" si="18">IF(ISNUMBER(BC17/BA17),BC17/BA17, " - ")</f>
        <v>0.16941015089163236</v>
      </c>
      <c r="BG17" s="195">
        <f t="shared" si="10"/>
        <v>3.6412894375857339</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366</v>
      </c>
      <c r="J18" s="182">
        <v>158</v>
      </c>
      <c r="K18" s="182">
        <v>199</v>
      </c>
      <c r="L18" s="182">
        <v>337</v>
      </c>
      <c r="M18" s="182">
        <v>79</v>
      </c>
      <c r="N18" s="182">
        <v>102</v>
      </c>
      <c r="O18" s="182">
        <v>0</v>
      </c>
      <c r="P18" s="182">
        <v>4</v>
      </c>
      <c r="Q18" s="182">
        <v>4</v>
      </c>
      <c r="R18" s="182">
        <v>7</v>
      </c>
      <c r="S18" s="182">
        <v>172</v>
      </c>
      <c r="T18" s="182">
        <v>169</v>
      </c>
      <c r="U18" s="182">
        <v>145</v>
      </c>
      <c r="V18" s="182">
        <v>196</v>
      </c>
      <c r="W18" s="182">
        <v>83</v>
      </c>
      <c r="X18" s="188">
        <v>57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172</v>
      </c>
      <c r="AZ18" s="129">
        <f t="shared" si="19"/>
        <v>169</v>
      </c>
      <c r="BA18" s="129">
        <f t="shared" si="19"/>
        <v>145</v>
      </c>
      <c r="BB18" s="129">
        <f t="shared" si="19"/>
        <v>196</v>
      </c>
      <c r="BC18" s="125">
        <f>IF(ISNUMBER(W18),W18," - ")</f>
        <v>83</v>
      </c>
      <c r="BD18" s="126">
        <f>IF(ISNUMBER(BA18/AZ18),BA18/AZ18," - ")</f>
        <v>0.85798816568047342</v>
      </c>
      <c r="BE18" s="127">
        <f>IF(ISNUMBER(BB18/BA18),BB18/BA18, " - ")</f>
        <v>1.3517241379310345</v>
      </c>
      <c r="BF18" s="127">
        <f>IF(ISNUMBER(BC18/BA18),BC18/BA18, " - ")</f>
        <v>0.57241379310344831</v>
      </c>
      <c r="BG18" s="195">
        <f>IF(ISNUMBER((AY18+AZ18)/BA18),(AY18+AZ18)/BA18," - ")</f>
        <v>2.3517241379310345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5309</v>
      </c>
      <c r="J19" s="183">
        <f t="shared" si="20"/>
        <v>2422</v>
      </c>
      <c r="K19" s="183">
        <f t="shared" si="20"/>
        <v>2504</v>
      </c>
      <c r="L19" s="183">
        <f t="shared" si="20"/>
        <v>5288</v>
      </c>
      <c r="M19" s="183">
        <f t="shared" si="20"/>
        <v>281</v>
      </c>
      <c r="N19" s="183">
        <f t="shared" si="20"/>
        <v>1500</v>
      </c>
      <c r="O19" s="183">
        <f t="shared" si="20"/>
        <v>6</v>
      </c>
      <c r="P19" s="183">
        <f t="shared" si="20"/>
        <v>54</v>
      </c>
      <c r="Q19" s="183">
        <f t="shared" si="20"/>
        <v>26</v>
      </c>
      <c r="R19" s="183">
        <f t="shared" si="20"/>
        <v>490</v>
      </c>
      <c r="S19" s="183">
        <f t="shared" si="20"/>
        <v>3765</v>
      </c>
      <c r="T19" s="183">
        <f t="shared" si="20"/>
        <v>1885</v>
      </c>
      <c r="U19" s="183">
        <f t="shared" si="20"/>
        <v>1603</v>
      </c>
      <c r="V19" s="183">
        <f t="shared" si="20"/>
        <v>4009</v>
      </c>
      <c r="W19" s="183">
        <f t="shared" si="20"/>
        <v>330</v>
      </c>
      <c r="X19" s="183">
        <f t="shared" si="20"/>
        <v>882</v>
      </c>
      <c r="Y19" s="183">
        <f t="shared" si="20"/>
        <v>0</v>
      </c>
      <c r="Z19" s="183">
        <f t="shared" si="20"/>
        <v>0</v>
      </c>
      <c r="AA19" s="183">
        <f t="shared" si="20"/>
        <v>0</v>
      </c>
      <c r="AB19" s="183">
        <f t="shared" si="20"/>
        <v>0</v>
      </c>
      <c r="AC19" s="183">
        <f t="shared" si="20"/>
        <v>14</v>
      </c>
      <c r="AD19" s="183">
        <f t="shared" si="20"/>
        <v>0</v>
      </c>
      <c r="AE19" s="183">
        <f t="shared" si="20"/>
        <v>0</v>
      </c>
      <c r="AF19" s="183">
        <f t="shared" si="20"/>
        <v>14</v>
      </c>
      <c r="AG19" s="183">
        <f t="shared" si="20"/>
        <v>0</v>
      </c>
      <c r="AH19" s="183">
        <f t="shared" si="20"/>
        <v>0</v>
      </c>
      <c r="AI19" s="183">
        <f t="shared" si="20"/>
        <v>0</v>
      </c>
      <c r="AJ19" s="183">
        <f t="shared" si="20"/>
        <v>0</v>
      </c>
      <c r="AK19" s="183">
        <f t="shared" si="20"/>
        <v>14</v>
      </c>
      <c r="AL19" s="183">
        <f t="shared" si="20"/>
        <v>0</v>
      </c>
      <c r="AM19" s="183">
        <f t="shared" si="20"/>
        <v>0</v>
      </c>
      <c r="AN19" s="183">
        <f t="shared" si="20"/>
        <v>14</v>
      </c>
      <c r="AO19" s="183">
        <f t="shared" si="20"/>
        <v>8</v>
      </c>
      <c r="AP19" s="183">
        <f t="shared" si="20"/>
        <v>7</v>
      </c>
      <c r="AQ19" s="183">
        <f t="shared" si="20"/>
        <v>7</v>
      </c>
      <c r="AR19" s="183">
        <f t="shared" si="20"/>
        <v>7</v>
      </c>
      <c r="AS19" s="183">
        <f t="shared" si="20"/>
        <v>0</v>
      </c>
      <c r="AT19" s="183">
        <f t="shared" si="20"/>
        <v>0</v>
      </c>
      <c r="AU19" s="203"/>
      <c r="AV19" s="132"/>
      <c r="AW19" s="203"/>
      <c r="AX19" s="132"/>
      <c r="AY19" s="183">
        <f>SUBTOTAL(9,AY14:AY18)</f>
        <v>3765</v>
      </c>
      <c r="AZ19" s="183">
        <f>SUBTOTAL(9,AZ14:AZ18)</f>
        <v>1885</v>
      </c>
      <c r="BA19" s="183">
        <f>SUBTOTAL(9,BA14:BA18)</f>
        <v>1603</v>
      </c>
      <c r="BB19" s="183">
        <f>SUBTOTAL(9,BB14:BB18)</f>
        <v>4009</v>
      </c>
      <c r="BC19" s="183">
        <f>SUBTOTAL(9,BC14:BC18)</f>
        <v>330</v>
      </c>
      <c r="BD19" s="204">
        <f>IF(ISNUMBER(BA19/AZ19),BA19/AZ19," - ")</f>
        <v>0.85039787798408484</v>
      </c>
      <c r="BE19" s="205">
        <f>IF(ISNUMBER(BB19/BA19),BB19/BA19, " - ")</f>
        <v>2.5009357454772303</v>
      </c>
      <c r="BF19" s="205">
        <f>IF(ISNUMBER(BC19/BA19),BC19/BA19, " - ")</f>
        <v>0.20586400499064256</v>
      </c>
      <c r="BG19" s="206">
        <f>IF(ISNUMBER((AY19+AZ19)/BA19),(AY19+AZ19)/BA19," - ")</f>
        <v>3.5246412975670616</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13178</v>
      </c>
      <c r="J20" s="134">
        <f t="shared" si="23"/>
        <v>4049</v>
      </c>
      <c r="K20" s="134">
        <f t="shared" si="23"/>
        <v>4067</v>
      </c>
      <c r="L20" s="134">
        <f t="shared" si="23"/>
        <v>13221</v>
      </c>
      <c r="M20" s="134">
        <f t="shared" si="23"/>
        <v>592</v>
      </c>
      <c r="N20" s="134">
        <f t="shared" si="23"/>
        <v>2320</v>
      </c>
      <c r="O20" s="134">
        <f t="shared" si="23"/>
        <v>700</v>
      </c>
      <c r="P20" s="134">
        <f t="shared" si="23"/>
        <v>531</v>
      </c>
      <c r="Q20" s="134">
        <f t="shared" si="23"/>
        <v>383</v>
      </c>
      <c r="R20" s="134">
        <f t="shared" si="23"/>
        <v>8283</v>
      </c>
      <c r="S20" s="134">
        <f t="shared" si="23"/>
        <v>11135</v>
      </c>
      <c r="T20" s="134">
        <f t="shared" si="23"/>
        <v>3807</v>
      </c>
      <c r="U20" s="134">
        <f t="shared" si="23"/>
        <v>3309</v>
      </c>
      <c r="V20" s="134">
        <f t="shared" si="23"/>
        <v>11595</v>
      </c>
      <c r="W20" s="134">
        <f t="shared" si="23"/>
        <v>699</v>
      </c>
      <c r="X20" s="134">
        <f t="shared" si="23"/>
        <v>1831</v>
      </c>
      <c r="Y20" s="134">
        <f t="shared" si="23"/>
        <v>272</v>
      </c>
      <c r="Z20" s="134">
        <f t="shared" si="23"/>
        <v>111</v>
      </c>
      <c r="AA20" s="134">
        <f t="shared" si="23"/>
        <v>149</v>
      </c>
      <c r="AB20" s="134">
        <f t="shared" si="23"/>
        <v>234</v>
      </c>
      <c r="AC20" s="134">
        <f t="shared" si="23"/>
        <v>14</v>
      </c>
      <c r="AD20" s="134">
        <f t="shared" si="23"/>
        <v>0</v>
      </c>
      <c r="AE20" s="134">
        <f t="shared" si="23"/>
        <v>0</v>
      </c>
      <c r="AF20" s="134">
        <f t="shared" si="23"/>
        <v>14</v>
      </c>
      <c r="AG20" s="134">
        <f t="shared" si="23"/>
        <v>157</v>
      </c>
      <c r="AH20" s="134">
        <f t="shared" si="23"/>
        <v>138</v>
      </c>
      <c r="AI20" s="134">
        <f t="shared" si="23"/>
        <v>100</v>
      </c>
      <c r="AJ20" s="134">
        <f t="shared" si="23"/>
        <v>195</v>
      </c>
      <c r="AK20" s="134">
        <f t="shared" si="23"/>
        <v>14</v>
      </c>
      <c r="AL20" s="134">
        <f t="shared" si="23"/>
        <v>0</v>
      </c>
      <c r="AM20" s="134">
        <f t="shared" si="23"/>
        <v>0</v>
      </c>
      <c r="AN20" s="209">
        <f t="shared" si="23"/>
        <v>14</v>
      </c>
      <c r="AO20" s="210">
        <v>8</v>
      </c>
      <c r="AP20" s="210">
        <v>7</v>
      </c>
      <c r="AQ20" s="210">
        <v>7</v>
      </c>
      <c r="AR20" s="210">
        <v>7</v>
      </c>
      <c r="AS20" s="152">
        <f t="shared" si="23"/>
        <v>0</v>
      </c>
      <c r="AT20" s="152">
        <f t="shared" si="23"/>
        <v>0</v>
      </c>
      <c r="AU20" s="210"/>
      <c r="AV20" s="211"/>
      <c r="AW20" s="210"/>
      <c r="AX20" s="211"/>
      <c r="AY20" s="133">
        <f>SUBTOTAL(9,AY9:AY19)</f>
        <v>11292</v>
      </c>
      <c r="AZ20" s="134">
        <f>SUBTOTAL(9,AZ9:AZ19)</f>
        <v>3945</v>
      </c>
      <c r="BA20" s="134">
        <f>SUBTOTAL(9,BA9:BA19)</f>
        <v>3409</v>
      </c>
      <c r="BB20" s="134">
        <f>SUBTOTAL(9,BB9:BB19)</f>
        <v>11790</v>
      </c>
      <c r="BC20" s="135">
        <f>SUBTOTAL(9,BC9:BC19)</f>
        <v>1285</v>
      </c>
      <c r="BD20" s="212">
        <f>IF(ISNUMBER(BA20/AZ20),BA20/AZ20," - ")</f>
        <v>0.86413181242078585</v>
      </c>
      <c r="BE20" s="209">
        <f>IF(ISNUMBER(BB20/BA20),BB20/BA20, " - ")</f>
        <v>3.4584922264593723</v>
      </c>
      <c r="BF20" s="209">
        <f>IF(ISNUMBER(BC20/BA20),BC20/BA20, " - ")</f>
        <v>0.37694338515693754</v>
      </c>
      <c r="BG20" s="135">
        <f>IF(ISNUMBER((AY20+AZ20)/BA20),(AY20+AZ20)/BA20," - ")</f>
        <v>4.4696391903784098</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ccaXDAVVLJ+mVMzRJvP2v7ReTvwNQAh8JSWmkRxB4wr/Njj9eMAYva+L2abCpMPhBKk4A98JONqrYRvI8zWlQ==" saltValue="/LStQ6vmiumFuO5MZx6TU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pFKs/nXtA0EGM79cfgcXWmrFFEfbc5+fzoQp8Lt/SDaj2B0lac2WbMCMHZfWIQCEJe2q/n1ti6mdhY2Egu2bw==" saltValue="kkyd1YXVw4teW+ajEnc0s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SAN JAVIER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107</v>
      </c>
      <c r="G10" s="332">
        <f>IF(ISNUMBER(Datos!I10),Datos!I10," - ")</f>
        <v>107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24</v>
      </c>
      <c r="AC10" s="225">
        <f>IF(ISNUMBER(Datos!Q10),Datos!Q10," - ")</f>
        <v>3</v>
      </c>
      <c r="AD10" s="333"/>
      <c r="AE10" s="483"/>
      <c r="AF10" s="331">
        <f>IF(ISNUMBER(Datos!L10),Datos!L10,"-")</f>
        <v>104</v>
      </c>
      <c r="AG10" s="333"/>
      <c r="AH10" s="333"/>
      <c r="AI10" s="333"/>
      <c r="AJ10" s="333"/>
      <c r="AK10" s="333"/>
      <c r="AL10" s="478"/>
      <c r="AM10" s="334">
        <f>IF(ISNUMBER(Datos!R10),Datos!R10," - ")</f>
        <v>29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8</v>
      </c>
      <c r="BE10" s="228" t="str">
        <f>IF(ISNUMBER(Datos!BW10),Datos!BW10," - ")</f>
        <v xml:space="preserve"> - </v>
      </c>
      <c r="BF10" s="227" t="str">
        <f>IF(ISNUMBER(Datos!BX10),Datos!BX10," - ")</f>
        <v xml:space="preserve"> - </v>
      </c>
      <c r="BG10" s="242">
        <f>IF(ISNUMBER(Datos!K10/Datos!J10),Datos!K10/Datos!J10," - ")</f>
        <v>1.1428571428571428</v>
      </c>
      <c r="BH10" s="259">
        <f>IF(ISNUMBER(((Datos!L10/Datos!K10)*11)/factor_trimestre),((Datos!L10/Datos!K10)*11)/factor_trimestre," - ")</f>
        <v>13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3.5714285714285712E-2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473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234</v>
      </c>
      <c r="AI12" s="333" t="str">
        <f>IF(ISNUMBER(Datos!CD12),Datos!CD12,"-")</f>
        <v>-</v>
      </c>
      <c r="AJ12" s="333" t="str">
        <f>IF(ISNUMBER(Datos!EN12),Datos!EN12," - ")</f>
        <v xml:space="preserve"> - </v>
      </c>
      <c r="AK12" s="333"/>
      <c r="AL12" s="478"/>
      <c r="AM12" s="334">
        <f>IF(ISNUMBER(Datos!R12),Datos!R12," - ")</f>
        <v>7764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309</v>
      </c>
      <c r="BD12" s="228">
        <f>IF(ISNUMBER(Datos!N12),Datos!N12," - ")</f>
        <v>812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0.98311007571345366</v>
      </c>
      <c r="BH12" s="259">
        <f>IF(ISNUMBER(((IF(J_V="SI",Datos!L12/Datos!K12,(Datos!L12+Datos!AB12)/(Datos!K12+Datos!AA12)))*11)/factor_trimestre),((IF(J_V="SI",Datos!L12/Datos!K12,(Datos!L12+Datos!AB12)/(Datos!K12+Datos!AA12)))*11)/factor_trimestre," - ")</f>
        <v>14.329976303317537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1.5565729234793983E-2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107</v>
      </c>
      <c r="G13" s="895">
        <f t="shared" si="0"/>
        <v>107</v>
      </c>
      <c r="H13" s="896">
        <f t="shared" si="0"/>
        <v>0</v>
      </c>
      <c r="I13" s="895">
        <f t="shared" si="0"/>
        <v>0</v>
      </c>
      <c r="J13" s="864">
        <f t="shared" si="0"/>
        <v>0</v>
      </c>
      <c r="K13" s="864">
        <f t="shared" si="0"/>
        <v>0</v>
      </c>
      <c r="L13" s="896">
        <f t="shared" si="0"/>
        <v>0</v>
      </c>
      <c r="M13" s="896">
        <f t="shared" si="0"/>
        <v>0</v>
      </c>
      <c r="N13" s="896">
        <f t="shared" si="0"/>
        <v>111</v>
      </c>
      <c r="O13" s="897">
        <f t="shared" si="0"/>
        <v>0</v>
      </c>
      <c r="P13" s="897">
        <f t="shared" si="0"/>
        <v>0</v>
      </c>
      <c r="Q13" s="896">
        <f t="shared" si="0"/>
        <v>477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24</v>
      </c>
      <c r="AC13" s="896">
        <f t="shared" si="1"/>
        <v>357</v>
      </c>
      <c r="AD13" s="896">
        <f t="shared" si="1"/>
        <v>0</v>
      </c>
      <c r="AE13" s="896">
        <f t="shared" si="1"/>
        <v>0</v>
      </c>
      <c r="AF13" s="896">
        <f t="shared" si="1"/>
        <v>104</v>
      </c>
      <c r="AG13" s="896">
        <f t="shared" si="1"/>
        <v>0</v>
      </c>
      <c r="AH13" s="896">
        <f t="shared" si="1"/>
        <v>234</v>
      </c>
      <c r="AI13" s="896">
        <f t="shared" si="1"/>
        <v>0</v>
      </c>
      <c r="AJ13" s="896">
        <f t="shared" si="1"/>
        <v>0</v>
      </c>
      <c r="AK13" s="896">
        <f t="shared" si="1"/>
        <v>0</v>
      </c>
      <c r="AL13" s="896">
        <f t="shared" si="1"/>
        <v>0</v>
      </c>
      <c r="AM13" s="896">
        <f t="shared" si="1"/>
        <v>7793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311</v>
      </c>
      <c r="BD13" s="896">
        <f t="shared" si="1"/>
        <v>820</v>
      </c>
      <c r="BE13" s="896">
        <f t="shared" si="1"/>
        <v>0</v>
      </c>
      <c r="BF13" s="896">
        <f t="shared" si="1"/>
        <v>0</v>
      </c>
      <c r="BG13" s="896">
        <f>IF(ISNUMBER(Datos!K13/Datos!J13),Datos!K13/Datos!J13," - ")</f>
        <v>0.96066379840196681</v>
      </c>
      <c r="BH13" s="900">
        <f>IF(ISNUMBER(((Datos!L13/Datos!K13)*11)/factor_trimestre),((Datos!L13/Datos!K13)*11)/factor_trimestre," - ")</f>
        <v>15.226487523992322</v>
      </c>
      <c r="BI13" s="896">
        <f>IF(ISNUMBER('Resol  Asuntos'!D13/NºAsuntos!G13),'Resol  Asuntos'!D13/NºAsuntos!G13," - ")</f>
        <v>0.18165887850467291</v>
      </c>
      <c r="BJ13" s="896" t="str">
        <f>IF(ISNUMBER(Datos!CI13/Datos!CJ13),Datos!CI13/Datos!CJ13," - ")</f>
        <v xml:space="preserve"> - </v>
      </c>
      <c r="BK13" s="896">
        <f>SUBTOTAL(9,BK8:BK12)</f>
        <v>0</v>
      </c>
      <c r="BL13" s="896">
        <f>IF(ISNUMBER((I13-AB13+L13)/(F13)),(I13-AB13+L13)/(F13)," - ")</f>
        <v>-0.22429906542056074</v>
      </c>
      <c r="BM13" s="901">
        <f>SUBTOTAL(9,BM9:BM12)</f>
        <v>5.1280014949079696E-2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4992</v>
      </c>
      <c r="G17" s="596">
        <f>IF(ISNUMBER(IF(D_I="SI",Datos!I17,Datos!I17+Datos!AC17)),IF(D_I="SI",Datos!I17,Datos!I17+Datos!AC17)," - ")</f>
        <v>4943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2305</v>
      </c>
      <c r="AC17" s="225">
        <f>IF(ISNUMBER(Datos!Q17),Datos!Q17," - ")</f>
        <v>22</v>
      </c>
      <c r="AD17" s="333"/>
      <c r="AE17" s="483"/>
      <c r="AF17" s="1192">
        <f>IF(ISNUMBER(IF(D_I="SI",Datos!L17,Datos!L17+Datos!AF17)),IF(D_I="SI",Datos!L17,Datos!L17+Datos!AF17)," - ")</f>
        <v>4951</v>
      </c>
      <c r="AG17" s="333"/>
      <c r="AH17" s="333"/>
      <c r="AI17" s="333"/>
      <c r="AJ17" s="333"/>
      <c r="AK17" s="333"/>
      <c r="AL17" s="478"/>
      <c r="AM17" s="334">
        <f>IF(ISNUMBER(Datos!R17),Datos!R17," - ")</f>
        <v>483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202</v>
      </c>
      <c r="BD17" s="228">
        <f>IF(ISNUMBER(Datos!N17),Datos!N17," - ")</f>
        <v>1398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1.0181095406360423</v>
      </c>
      <c r="BH17" s="259">
        <f>IF(ISNUMBER(((IF(D_I="SI",Datos!L17/Datos!K17,(Datos!L17+Datos!AF17)/(Datos!K17+Datos!AE17)))*11)/factor_trimestre),((IF(D_I="SI",Datos!L17/Datos!K17,(Datos!L17+Datos!AF17)/(Datos!K17+Datos!AE17)))*11)/factor_trimestre," - ")</f>
        <v>6.4438177874186557</v>
      </c>
      <c r="BI17" s="242">
        <f>IF(ISNUMBER('Resol  Asuntos'!D17/NºAsuntos!G17),'Resol  Asuntos'!D17/NºAsuntos!G17," - ")</f>
        <v>8.7635574837310201E-2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366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199</v>
      </c>
      <c r="AC18" s="225">
        <f>IF(ISNUMBER(Datos!Q18),Datos!Q18," - ")</f>
        <v>4</v>
      </c>
      <c r="AD18" s="333"/>
      <c r="AE18" s="483"/>
      <c r="AF18" s="331">
        <f>IF(ISNUMBER(Datos!L18),Datos!L18,"-")</f>
        <v>337</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79</v>
      </c>
      <c r="BD18" s="228">
        <f>IF(ISNUMBER(Datos!N18),Datos!N18," - ")</f>
        <v>102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1.259493670886076</v>
      </c>
      <c r="BH18" s="259">
        <f>IF(ISNUMBER(((IF(D_I="SI",Datos!L18/Datos!K18,(Datos!L18+Datos!AF18)/(Datos!K18+Datos!AE18)))*11)/factor_trimestre),((IF(D_I="SI",Datos!L18/Datos!K18,(Datos!L18+Datos!AF18)/(Datos!K18+Datos!AE18)))*11)/factor_trimestre," - ")</f>
        <v>5.0804020100502516</v>
      </c>
      <c r="BI18" s="242">
        <f>IF(ISNUMBER('Resol  Asuntos'!D18/NºAsuntos!G18),'Resol  Asuntos'!D18/NºAsuntos!G18," - ")</f>
        <v>0.39698492462311558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4992</v>
      </c>
      <c r="G19" s="895">
        <f>SUBTOTAL(9,G15:G18)</f>
        <v>5309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2504</v>
      </c>
      <c r="AC19" s="896">
        <f t="shared" si="4"/>
        <v>26</v>
      </c>
      <c r="AD19" s="896">
        <f t="shared" si="4"/>
        <v>0</v>
      </c>
      <c r="AE19" s="896">
        <f t="shared" si="4"/>
        <v>0</v>
      </c>
      <c r="AF19" s="896">
        <f t="shared" si="4"/>
        <v>5288</v>
      </c>
      <c r="AG19" s="896">
        <f t="shared" si="4"/>
        <v>0</v>
      </c>
      <c r="AH19" s="896">
        <f t="shared" si="4"/>
        <v>0</v>
      </c>
      <c r="AI19" s="896">
        <f t="shared" si="4"/>
        <v>0</v>
      </c>
      <c r="AJ19" s="896">
        <f t="shared" si="4"/>
        <v>0</v>
      </c>
      <c r="AK19" s="896">
        <f t="shared" si="4"/>
        <v>0</v>
      </c>
      <c r="AL19" s="896">
        <f t="shared" si="4"/>
        <v>0</v>
      </c>
      <c r="AM19" s="896">
        <f t="shared" si="4"/>
        <v>490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281</v>
      </c>
      <c r="BD19" s="896">
        <f t="shared" si="4"/>
        <v>1500</v>
      </c>
      <c r="BE19" s="896">
        <f t="shared" si="4"/>
        <v>0</v>
      </c>
      <c r="BF19" s="896">
        <f t="shared" si="4"/>
        <v>0</v>
      </c>
      <c r="BG19" s="896">
        <f>IF(ISNUMBER(Datos!K19/Datos!J19),Datos!K19/Datos!J19," - ")</f>
        <v>1.0338563170933113</v>
      </c>
      <c r="BH19" s="900">
        <f>IF(ISNUMBER(((Datos!L19/Datos!K19)*11)/factor_trimestre),((Datos!L19/Datos!K19)*11)/factor_trimestre," - ")</f>
        <v>6.3354632587859427</v>
      </c>
      <c r="BI19" s="896">
        <f>SUBTOTAL(9,BI15:BI18)</f>
        <v>0.48462049946042579</v>
      </c>
      <c r="BJ19" s="896">
        <f>SUBTOTAL(9,BJ15:BJ18)</f>
        <v>0</v>
      </c>
      <c r="BK19" s="896">
        <f>SUBTOTAL(9,BK15:BK18)</f>
        <v>0</v>
      </c>
      <c r="BL19" s="896">
        <f>IF(ISNUMBER((I19-AB19+L19)/(F19)),(I19-AB19+L19)/(F19)," - ")</f>
        <v>-0.5016025641025641</v>
      </c>
      <c r="BM19" s="902">
        <f>IF(ISNUMBER((Datos!P19-Datos!Q19)/(Datos!R19-Datos!P19+Datos!Q19)),(Datos!P19-Datos!Q19)/(Datos!R19-Datos!P19+Datos!Q19)," - ")</f>
        <v>6.0606060606060608E-2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5099</v>
      </c>
      <c r="G20" s="817">
        <f t="shared" si="6"/>
        <v>5416</v>
      </c>
      <c r="H20" s="819">
        <f t="shared" si="6"/>
        <v>0</v>
      </c>
      <c r="I20" s="817">
        <f t="shared" si="6"/>
        <v>0</v>
      </c>
      <c r="J20" s="819">
        <f t="shared" si="6"/>
        <v>0</v>
      </c>
      <c r="K20" s="819">
        <f t="shared" si="6"/>
        <v>0</v>
      </c>
      <c r="L20" s="878">
        <f t="shared" si="6"/>
        <v>0</v>
      </c>
      <c r="M20" s="878">
        <f t="shared" si="6"/>
        <v>0</v>
      </c>
      <c r="N20" s="878">
        <f t="shared" si="6"/>
        <v>111</v>
      </c>
      <c r="O20" s="878">
        <f t="shared" si="6"/>
        <v>0</v>
      </c>
      <c r="P20" s="878">
        <f t="shared" si="6"/>
        <v>0</v>
      </c>
      <c r="Q20" s="819">
        <f t="shared" si="6"/>
        <v>531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2528</v>
      </c>
      <c r="AC20" s="818">
        <f t="shared" si="7"/>
        <v>383</v>
      </c>
      <c r="AD20" s="818">
        <f t="shared" si="7"/>
        <v>0</v>
      </c>
      <c r="AE20" s="818">
        <f t="shared" si="7"/>
        <v>0</v>
      </c>
      <c r="AF20" s="825">
        <f t="shared" si="7"/>
        <v>5392</v>
      </c>
      <c r="AG20" s="825">
        <f t="shared" si="7"/>
        <v>0</v>
      </c>
      <c r="AH20" s="825">
        <f t="shared" si="7"/>
        <v>234</v>
      </c>
      <c r="AI20" s="825">
        <f t="shared" si="7"/>
        <v>0</v>
      </c>
      <c r="AJ20" s="818">
        <f t="shared" si="7"/>
        <v>0</v>
      </c>
      <c r="AK20" s="825">
        <f t="shared" si="7"/>
        <v>0</v>
      </c>
      <c r="AL20" s="825">
        <f t="shared" si="7"/>
        <v>0</v>
      </c>
      <c r="AM20" s="825">
        <f t="shared" si="7"/>
        <v>8283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592</v>
      </c>
      <c r="BD20" s="817">
        <f t="shared" si="7"/>
        <v>2320</v>
      </c>
      <c r="BE20" s="817">
        <f t="shared" si="7"/>
        <v>0</v>
      </c>
      <c r="BF20" s="827">
        <f t="shared" si="7"/>
        <v>0</v>
      </c>
      <c r="BG20" s="912">
        <f>IF(ISNUMBER(Datos!K20/Datos!J20),Datos!K20/Datos!J20," - ")</f>
        <v>1.0044455421091627</v>
      </c>
      <c r="BH20" s="912">
        <f>IF(ISNUMBER(((Datos!L20/Datos!K20)*11)/factor_trimestre),((Datos!L20/Datos!K20)*11)/factor_trimestre," - ")</f>
        <v>9.7523973444799612</v>
      </c>
      <c r="BI20" s="810">
        <f>IF(ISNUMBER(Datos!J20/Datos!I20),Datos!J20/Datos!I20," - ")</f>
        <v>0.30725451510092577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-0.4957834869582271</v>
      </c>
      <c r="BM20" s="886">
        <f>IF(ISNUMBER((Datos!P20-Datos!Q20+R20)/(Datos!R20-Datos!P20+Datos!Q20-R20)),(Datos!P20-Datos!Q20+R20)/(Datos!R20-Datos!P20+Datos!Q20-R20)," - ")</f>
        <v>1.8192993239090349E-2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2166.4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3.6147844564602556</v>
      </c>
      <c r="F22" s="550">
        <f>IF(ISNUMBER(STDEV(F8:F19)),STDEV(F8:F19),"-")</f>
        <v>2820.356064991322</v>
      </c>
      <c r="G22" s="551">
        <f>IF(ISNUMBER(STDEV(G8:G19)),STDEV(G8:G19),"-")</f>
        <v>2706.8957866899864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1275.849403338811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130.05332239764837</v>
      </c>
      <c r="BD22" s="550"/>
      <c r="BE22" s="550">
        <f>IF(ISNUMBER(STDEV(BE8:BE19)),STDEV(BE8:BE19),"-")</f>
        <v>0</v>
      </c>
      <c r="BF22" s="555">
        <f>IF(ISNUMBER(STDEV(BF8:BF19)),STDEV(BF8:BF19),"-")</f>
        <v>0</v>
      </c>
      <c r="BG22" s="772">
        <f>IF(ISNUMBER(STDEV(BG8:BG19)),STDEV(BG8:BG19),"-")</f>
        <v>0.11370071244152397</v>
      </c>
      <c r="BH22" s="773">
        <f>IF(ISNUMBER(STDEV(BH8:BH19)),STDEV(BH8:BH19),"-")</f>
        <v>4.5894162902732543</v>
      </c>
      <c r="BI22" s="248">
        <f>IF(ISNUMBER(STDEV(BI8:BI19)),STDEV(BI8:BI19),"-")</f>
        <v>0.18438308764400713</v>
      </c>
      <c r="BJ22" s="229" t="str">
        <f>IF(ISNUMBER(BL22/BM22),BL22/BM22," - ")</f>
        <v xml:space="preserve"> - </v>
      </c>
      <c r="BK22" s="574"/>
      <c r="BL22" s="558">
        <f>IF(ISNUMBER(STDEV(BL8:BL19)),STDEV(BL8:BL19),"-")</f>
        <v>0.19608318436479927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9NPFiNJm6jnvWr4fyF4imrElucp0AlYPqUUBNQnfbBMTMjenA1rRf4FOuaC8eVKcb7Rk3+AjiI+mJjvDO0BdCw==" saltValue="Cm0tR8vg8KMe6ddmWTqz6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REGION DE MURCIA</v>
      </c>
    </row>
    <row r="2" spans="1:78" ht="16.5" customHeight="1">
      <c r="C2" s="527" t="str">
        <f>Criterios!A10 &amp;"  "&amp;Criterios!B10 &amp; "  " &amp; IF(NOT(ISBLANK(Criterios!A11)),Criterios!A11 &amp;"  "&amp;Criterios!B11,"")</f>
        <v>Provincias  MURCIA  Resumenes por Partidos Judiciales  SAN JAVIER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107</v>
      </c>
      <c r="G10" s="224">
        <f>IF(ISNUMBER(Datos!I10),Datos!I10," - ")</f>
        <v>107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4</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24</v>
      </c>
      <c r="Z10" s="617">
        <f>IF(ISNUMBER(Datos!Q10),Datos!Q10," - ")</f>
        <v>3</v>
      </c>
      <c r="AA10" s="331">
        <f>IF(ISNUMBER(Datos!L10),Datos!L10,"-")</f>
        <v>104</v>
      </c>
      <c r="AB10" s="333"/>
      <c r="AC10" s="333"/>
      <c r="AD10" s="483"/>
      <c r="AE10" s="483">
        <f>IF(ISNUMBER(Datos!R10),Datos!R10," - ")</f>
        <v>29</v>
      </c>
      <c r="AF10" s="228" t="str">
        <f>IF(ISNUMBER(Datos!BV10),Datos!BV10," - ")</f>
        <v xml:space="preserve"> - </v>
      </c>
      <c r="AG10" s="224" t="str">
        <f>IF(ISNUMBER(Datos!DV10),Datos!DV10," - ")</f>
        <v xml:space="preserve"> - </v>
      </c>
      <c r="AH10" s="297"/>
      <c r="AI10" s="226"/>
      <c r="AJ10" s="224">
        <f>IF(ISNUMBER(Datos!M10),Datos!M10," - ")</f>
        <v>2</v>
      </c>
      <c r="AK10" s="228">
        <f>IF(ISNUMBER(Datos!N10),Datos!N10," - ")</f>
        <v>8</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3.5714285714285712E-2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473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354</v>
      </c>
      <c r="AA12" s="331" t="str">
        <f>IF(ISNUMBER(IF(J_V="SI",Datos!L12,Datos!L12+Datos!AB12)-IF(Monitorios="SI",Datos!CD12,0)),
                          IF(J_V="SI",Datos!L12,Datos!L12+Datos!AB12)-IF(Monitorios="SI",Datos!CD12,0),
                          " - ")</f>
        <v xml:space="preserve"> - </v>
      </c>
      <c r="AB12" s="333"/>
      <c r="AC12" s="333"/>
      <c r="AD12" s="483"/>
      <c r="AE12" s="483">
        <f>IF(ISNUMBER(Datos!R12),Datos!R12," - ")</f>
        <v>7764</v>
      </c>
      <c r="AF12" s="228" t="str">
        <f>IF(ISNUMBER(Datos!BV12),Datos!BV12," - ")</f>
        <v xml:space="preserve"> - </v>
      </c>
      <c r="AG12" s="224" t="str">
        <f>IF(ISNUMBER(Datos!DV12),Datos!DV12," - ")</f>
        <v xml:space="preserve"> - </v>
      </c>
      <c r="AH12" s="297"/>
      <c r="AI12" s="226"/>
      <c r="AJ12" s="224">
        <f>IF(ISNUMBER(Datos!M12),Datos!M12," - ")</f>
        <v>309</v>
      </c>
      <c r="AK12" s="228">
        <f>IF(ISNUMBER(Datos!N12),Datos!N12," - ")</f>
        <v>812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14.329976303317537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1.5565729234793983E-2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107</v>
      </c>
      <c r="G13" s="895">
        <f>SUBTOTAL(9,G8:G12)</f>
        <v>107</v>
      </c>
      <c r="H13" s="905"/>
      <c r="I13" s="895">
        <f t="shared" ref="I13:N13" si="0">SUBTOTAL(9,I8:I12)</f>
        <v>0</v>
      </c>
      <c r="J13" s="864">
        <f t="shared" si="0"/>
        <v>0</v>
      </c>
      <c r="K13" s="905">
        <f t="shared" si="0"/>
        <v>0</v>
      </c>
      <c r="L13" s="905">
        <f t="shared" si="0"/>
        <v>0</v>
      </c>
      <c r="M13" s="905">
        <f t="shared" si="0"/>
        <v>0</v>
      </c>
      <c r="N13" s="905">
        <f t="shared" si="0"/>
        <v>477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24</v>
      </c>
      <c r="Z13" s="904">
        <f t="shared" si="2"/>
        <v>357</v>
      </c>
      <c r="AA13" s="897">
        <f t="shared" si="2"/>
        <v>104</v>
      </c>
      <c r="AB13" s="897">
        <f t="shared" si="2"/>
        <v>0</v>
      </c>
      <c r="AC13" s="897">
        <f t="shared" si="2"/>
        <v>0</v>
      </c>
      <c r="AD13" s="897">
        <f t="shared" si="2"/>
        <v>0</v>
      </c>
      <c r="AE13" s="897">
        <f t="shared" si="2"/>
        <v>7793</v>
      </c>
      <c r="AF13" s="905">
        <f t="shared" si="2"/>
        <v>0</v>
      </c>
      <c r="AG13" s="905">
        <f t="shared" si="2"/>
        <v>0</v>
      </c>
      <c r="AH13" s="905">
        <f t="shared" si="2"/>
        <v>0</v>
      </c>
      <c r="AI13" s="905">
        <f t="shared" si="2"/>
        <v>0</v>
      </c>
      <c r="AJ13" s="905">
        <f t="shared" si="2"/>
        <v>311</v>
      </c>
      <c r="AK13" s="905">
        <f t="shared" si="2"/>
        <v>820</v>
      </c>
      <c r="AL13" s="905">
        <f t="shared" si="2"/>
        <v>0</v>
      </c>
      <c r="AM13" s="905">
        <f t="shared" si="2"/>
        <v>0</v>
      </c>
      <c r="AN13" s="905">
        <f t="shared" si="2"/>
        <v>0</v>
      </c>
      <c r="AO13" s="901">
        <f>IF(ISNUMBER(((NºAsuntos!I13/NºAsuntos!G13)*11)/factor_trimestre),((NºAsuntos!I13/NºAsuntos!G13)*11)/factor_trimestre," - ")</f>
        <v>14.311331775700936</v>
      </c>
      <c r="AP13" s="907" t="str">
        <f>IF(ISNUMBER(Datos!CI13/Datos!CJ13),Datos!CI13/Datos!CJ13," - ")</f>
        <v xml:space="preserve"> - </v>
      </c>
      <c r="AQ13" s="923">
        <f t="shared" ref="AQ13:AV13" si="3">SUBTOTAL(9,AQ9:AQ12)</f>
        <v>0</v>
      </c>
      <c r="AR13" s="923">
        <f t="shared" si="3"/>
        <v>5.1280014949079696E-2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4992</v>
      </c>
      <c r="G17" s="224">
        <f>IF(ISNUMBER(IF(D_I="SI",Datos!I17,Datos!I17+Datos!AC17)),IF(D_I="SI",Datos!I17,Datos!I17+Datos!AC17)," - ")</f>
        <v>4943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2305</v>
      </c>
      <c r="Z17" s="617">
        <f>IF(ISNUMBER(Datos!Q17),Datos!Q17," - ")</f>
        <v>22</v>
      </c>
      <c r="AA17" s="331">
        <f>IF(ISNUMBER(IF(D_I="SI",Datos!L17,Datos!L17+Datos!AF17)),IF(D_I="SI",Datos!L17,Datos!L17+Datos!AF17)," - ")</f>
        <v>4951</v>
      </c>
      <c r="AB17" s="333"/>
      <c r="AC17" s="333"/>
      <c r="AD17" s="483"/>
      <c r="AE17" s="483">
        <f>IF(ISNUMBER(Datos!R17),Datos!R17," - ")</f>
        <v>483</v>
      </c>
      <c r="AF17" s="228" t="str">
        <f>IF(ISNUMBER(Datos!BV17),Datos!BV17," - ")</f>
        <v xml:space="preserve"> - </v>
      </c>
      <c r="AG17" s="224"/>
      <c r="AH17" s="297"/>
      <c r="AI17" s="226"/>
      <c r="AJ17" s="224">
        <f>IF(ISNUMBER(Datos!M17),Datos!M17," - ")</f>
        <v>202</v>
      </c>
      <c r="AK17" s="228">
        <f>IF(ISNUMBER(Datos!N17),Datos!N17," - ")</f>
        <v>1398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6.4438177874186557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366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199</v>
      </c>
      <c r="Z18" s="617">
        <f>IF(ISNUMBER(Datos!Q18),Datos!Q18," - ")</f>
        <v>4</v>
      </c>
      <c r="AA18" s="331">
        <f>IF(ISNUMBER(Datos!L18),Datos!L18,"-")</f>
        <v>337</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79</v>
      </c>
      <c r="AK18" s="228">
        <f>IF(ISNUMBER(Datos!N18),Datos!N18," - ")</f>
        <v>102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5.0804020100502516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4992</v>
      </c>
      <c r="G19" s="895">
        <f>SUBTOTAL(9,G15:G18)</f>
        <v>5309</v>
      </c>
      <c r="H19" s="927">
        <f>SUBTOTAL(9,H15:H18)</f>
        <v>0</v>
      </c>
      <c r="I19" s="908">
        <f>SUBTOTAL(9,I15:I18)</f>
        <v>0</v>
      </c>
      <c r="J19" s="864">
        <f>SUBTOTAL(9,J14:J18)</f>
        <v>0</v>
      </c>
      <c r="K19" s="927">
        <f t="shared" ref="K19:S19" si="4">SUBTOTAL(9,K15:K18)</f>
        <v>0</v>
      </c>
      <c r="L19" s="927">
        <f t="shared" si="4"/>
        <v>0</v>
      </c>
      <c r="M19" s="927">
        <f t="shared" si="4"/>
        <v>0</v>
      </c>
      <c r="N19" s="927">
        <f t="shared" si="4"/>
        <v>54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2504</v>
      </c>
      <c r="Z19" s="927">
        <f t="shared" si="5"/>
        <v>26</v>
      </c>
      <c r="AA19" s="927">
        <f t="shared" si="5"/>
        <v>5288</v>
      </c>
      <c r="AB19" s="927">
        <f t="shared" si="5"/>
        <v>0</v>
      </c>
      <c r="AC19" s="927">
        <f t="shared" si="5"/>
        <v>0</v>
      </c>
      <c r="AD19" s="927">
        <f t="shared" si="5"/>
        <v>0</v>
      </c>
      <c r="AE19" s="927">
        <f t="shared" si="5"/>
        <v>490</v>
      </c>
      <c r="AF19" s="927">
        <f t="shared" si="5"/>
        <v>0</v>
      </c>
      <c r="AG19" s="927">
        <f t="shared" si="5"/>
        <v>0</v>
      </c>
      <c r="AH19" s="927">
        <f t="shared" si="5"/>
        <v>0</v>
      </c>
      <c r="AI19" s="927">
        <f t="shared" si="5"/>
        <v>0</v>
      </c>
      <c r="AJ19" s="927">
        <f t="shared" si="5"/>
        <v>281</v>
      </c>
      <c r="AK19" s="927">
        <f t="shared" si="5"/>
        <v>1500</v>
      </c>
      <c r="AL19" s="927">
        <f t="shared" si="5"/>
        <v>0</v>
      </c>
      <c r="AM19" s="927">
        <f t="shared" si="5"/>
        <v>0</v>
      </c>
      <c r="AN19" s="927">
        <f t="shared" si="5"/>
        <v>0</v>
      </c>
      <c r="AO19" s="929">
        <f>IF(ISNUMBER(((NºAsuntos!I19/NºAsuntos!G19)*11)/factor_trimestre),((NºAsuntos!I19/NºAsuntos!G19)*11)/factor_trimestre," - ")</f>
        <v>6.3354632587859427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5099</v>
      </c>
      <c r="G20" s="817">
        <f t="shared" si="7"/>
        <v>5416</v>
      </c>
      <c r="H20" s="818">
        <f t="shared" si="7"/>
        <v>0</v>
      </c>
      <c r="I20" s="817">
        <f t="shared" si="7"/>
        <v>0</v>
      </c>
      <c r="J20" s="819">
        <f t="shared" si="7"/>
        <v>0</v>
      </c>
      <c r="K20" s="817">
        <f t="shared" si="7"/>
        <v>0</v>
      </c>
      <c r="L20" s="820">
        <f t="shared" si="7"/>
        <v>0</v>
      </c>
      <c r="M20" s="817">
        <f t="shared" si="7"/>
        <v>0</v>
      </c>
      <c r="N20" s="818">
        <f t="shared" si="7"/>
        <v>531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2528</v>
      </c>
      <c r="Z20" s="824">
        <f t="shared" si="8"/>
        <v>383</v>
      </c>
      <c r="AA20" s="825">
        <f t="shared" si="8"/>
        <v>5392</v>
      </c>
      <c r="AB20" s="825">
        <f t="shared" si="8"/>
        <v>0</v>
      </c>
      <c r="AC20" s="825">
        <f t="shared" si="8"/>
        <v>0</v>
      </c>
      <c r="AD20" s="826">
        <f t="shared" si="8"/>
        <v>0</v>
      </c>
      <c r="AE20" s="826">
        <f t="shared" si="8"/>
        <v>8283</v>
      </c>
      <c r="AF20" s="827">
        <f t="shared" si="8"/>
        <v>0</v>
      </c>
      <c r="AG20" s="828">
        <f t="shared" si="8"/>
        <v>0</v>
      </c>
      <c r="AH20" s="829">
        <f t="shared" si="8"/>
        <v>0</v>
      </c>
      <c r="AI20" s="827">
        <f t="shared" si="8"/>
        <v>0</v>
      </c>
      <c r="AJ20" s="817">
        <f t="shared" si="8"/>
        <v>592</v>
      </c>
      <c r="AK20" s="817">
        <f t="shared" si="8"/>
        <v>2320</v>
      </c>
      <c r="AL20" s="817">
        <f t="shared" si="8"/>
        <v>0</v>
      </c>
      <c r="AM20" s="830">
        <f t="shared" si="8"/>
        <v>0</v>
      </c>
      <c r="AN20" s="820">
        <f>IF(ISNUMBER(Datos!K20/Datos!J20),Datos!K20/Datos!J20," - ")</f>
        <v>1.0044455421091627</v>
      </c>
      <c r="AO20" s="820">
        <f>IF(ISNUMBER(FIND("06",Criterios!A8,1)),(IF(ISNUMBER(((Datos!R20/Datos!Q20)*11)/factor_trimestre),((Datos!R20/Datos!Q20)*11)/factor_trimestre," - ")),(IF(ISNUMBER(((Datos!L20/Datos!K20)*11)/factor_trimestre),((Datos!L20/Datos!K20)*11)/factor_trimestre," - ")))</f>
        <v>9.7523973444799612</v>
      </c>
      <c r="AP20" s="831" t="str">
        <f>IF(ISNUMBER(Datos!CI20/Datos!CJ20),Datos!CI20/Datos!CJ20," - ")</f>
        <v xml:space="preserve"> - </v>
      </c>
      <c r="AQ20" s="831">
        <f>IF(OR(ISNUMBER(FIND("01",Criterios!A8,1)),ISNUMBER(FIND("02",Criterios!A8,1)),ISNUMBER(FIND("03",Criterios!A8,1)),ISNUMBER(FIND("04",Criterios!A8,1))),(J20-Y20+K20)/(F20-K20),(I20-Y20+K20)/(F20-K20))</f>
        <v>-0.4957834869582271</v>
      </c>
      <c r="AR20" s="831">
        <f>IF(ISNUMBER((Datos!P20-Datos!Q20+O20)/(Datos!R20-Datos!P20+Datos!Q20-O20)),(Datos!P20-Datos!Q20+O20)/(Datos!R20-Datos!P20+Datos!Q20-O20)," - ")</f>
        <v>1.8192993239090349E-2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2166.4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2820.356064991322</v>
      </c>
      <c r="G22" s="551">
        <f>IF(ISNUMBER(STDEV(G8:G19)),STDEV(G8:G19),"-")</f>
        <v>2706.8957866899864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130.05332239764837</v>
      </c>
      <c r="AK22" s="251"/>
      <c r="AL22" s="251">
        <f>IF(ISNUMBER(STDEV(AL8:AL19)),STDEV(AL8:AL19),"-")</f>
        <v>0</v>
      </c>
      <c r="AM22" s="253">
        <f>IF(ISNUMBER(STDEV(AM8:AM19)),STDEV(AM8:AM19),"-")</f>
        <v>0</v>
      </c>
      <c r="AN22" s="538">
        <f>IF(ISNUMBER(STDEV(AN8:AN19)),STDEV(AN8:AN19),"-")</f>
        <v>0</v>
      </c>
      <c r="AO22" s="539">
        <f>IF(ISNUMBER(STDEV(AO8:AO19)),STDEV(AO8:AO19),"-")</f>
        <v>4.3948260640390808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m0V4O8r31PaI0pAFB4w4xKH7HQB1UmqAzd4rqebYFu8abyZs9ue+YApnsslvmR/p0GdzWLEkxHXTKD6nPsZ8A==" saltValue="EAfAqDtR48ZxrKePF5EF1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J9NsZtgq90M2FOKLTPWJa3t8XIgEt4abjhk5/V7tAf5J96WcBds3ssd95S/7WNRA2PcVmwzc6y8eE3XwvnH+Q==" saltValue="RiwBtTWjzOOiQ1e0clNtn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REGION DE MURCIA</v>
      </c>
    </row>
    <row r="4" spans="1:156" ht="13.5" thickBot="1">
      <c r="A4" t="str">
        <f>Criterios!A10</f>
        <v>Provincias</v>
      </c>
      <c r="B4" t="str">
        <f>Criterios!B10</f>
        <v>MURCIA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mU6/JQBk8kdB2QE3Fp6D6L3bTiTXE9T8AdrrwgDieoXFoIJCRq6OOp558VFYjzbohhYmXJhoCpAueNhL1Wisw==" saltValue="IsZnhTrxtyM92sF1JFChQ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REGION DE MURCIA</v>
      </c>
    </row>
    <row r="2" spans="1:78" ht="16.5" customHeight="1">
      <c r="C2" s="487" t="str">
        <f>Criterios!A10 &amp;"  "&amp;Criterios!B10 &amp; "  " &amp; IF(NOT(ISBLANK(Criterios!A11)),Criterios!A11 &amp;"  "&amp;Criterios!B11,"")</f>
        <v>Provincias  MURCIA  Resumenes por Partidos Judiciales  SAN JAVIER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0.18165887850467291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0.12845222485339736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vzz4HIjj4rgLstPi5WmqbAUXhoeN/GYWDoQtd+IoS6qGBySmYmP9oljaeHnma+IVYco8wH/b1H1dGDJ/WW4CQ==" saltValue="f0bKfIbcO3bvDmyu7eN6V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ai5k0HIR9EJlIh3ThId4+8dQlaPTp8+2yFyaF9nd4C6tdOE3dg7BRVHwfWyUrPbR9AmxLpn553s6abfrOh8g==" saltValue="LnQt2imls4UM9g7K3pOkG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REGION DE MURCIA</v>
      </c>
      <c r="W1"/>
      <c r="X1"/>
    </row>
    <row r="2" spans="1:78" ht="16.5" customHeight="1">
      <c r="C2" s="487" t="str">
        <f>Criterios!A10 &amp;"  "&amp;Criterios!B10 &amp; "  " &amp; IF(NOT(ISBLANK(Criterios!A11)),Criterios!A11 &amp;"  "&amp;Criterios!B11,"")</f>
        <v>Provincias  MURCIA  Resumenes por Partidos Judiciales  SAN JAVIER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107</v>
      </c>
      <c r="G10" s="681">
        <f>IF(ISNUMBER(Datos!I10),Datos!I10," - ")</f>
        <v>107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4</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24</v>
      </c>
      <c r="AC10" s="680" t="str">
        <f>IF(ISNUMBER(IF(D_I="SI",DatosP!K18,DatosP!K18+DatosP!AE18)),IF(D_I="SI",DatosP!K18,DatosP!K18+DatosP!AE18)," - ")</f>
        <v xml:space="preserve"> - </v>
      </c>
      <c r="AD10" s="682"/>
      <c r="AE10" s="682"/>
      <c r="AF10" s="685">
        <f>IF(ISNUMBER(Datos!L10),Datos!L10,"-")</f>
        <v>104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8</v>
      </c>
      <c r="AN10" s="687">
        <f>IF(ISNUMBER(Datos!BW10+DatosP!BW18),Datos!BW10+DatosP!BW18," - ")</f>
        <v>0</v>
      </c>
      <c r="AO10" s="688">
        <f>IF(ISNUMBER(Datos!BX10+DatosP!BX18),Datos!BX10+DatosP!BX18," - ")</f>
        <v>0</v>
      </c>
      <c r="AP10" s="690">
        <f>IF(ISNUMBER(((Datos!L10/Datos!K10)*11)/factor_trimestre),((Datos!L10/Datos!K10)*11)/factor_trimestre," - ")</f>
        <v>13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473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7764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309</v>
      </c>
      <c r="AM12" s="687">
        <f>IF(ISNUMBER(Datos!N12+DatosP!N17),Datos!N12+DatosP!N17," - ")</f>
        <v>812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14.329976303317537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1.5565729234793983E-2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107</v>
      </c>
      <c r="G13" s="933">
        <f t="shared" si="0"/>
        <v>107</v>
      </c>
      <c r="H13" s="933">
        <f t="shared" si="0"/>
        <v>0</v>
      </c>
      <c r="I13" s="935">
        <f t="shared" si="0"/>
        <v>0</v>
      </c>
      <c r="J13" s="934">
        <f t="shared" si="0"/>
        <v>0</v>
      </c>
      <c r="K13" s="934">
        <f t="shared" si="0"/>
        <v>0</v>
      </c>
      <c r="L13" s="936">
        <f t="shared" si="0"/>
        <v>0</v>
      </c>
      <c r="M13" s="936">
        <f t="shared" si="0"/>
        <v>0</v>
      </c>
      <c r="N13" s="934">
        <f t="shared" si="0"/>
        <v>477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24</v>
      </c>
      <c r="AC13" s="934">
        <f t="shared" si="1"/>
        <v>0</v>
      </c>
      <c r="AD13" s="934">
        <f t="shared" si="1"/>
        <v>354</v>
      </c>
      <c r="AE13" s="934">
        <f t="shared" si="1"/>
        <v>0</v>
      </c>
      <c r="AF13" s="934">
        <f t="shared" si="1"/>
        <v>104</v>
      </c>
      <c r="AG13" s="934">
        <f t="shared" si="1"/>
        <v>0</v>
      </c>
      <c r="AH13" s="934">
        <f t="shared" si="1"/>
        <v>7764</v>
      </c>
      <c r="AI13" s="934">
        <f t="shared" si="1"/>
        <v>0</v>
      </c>
      <c r="AJ13" s="934">
        <f t="shared" si="1"/>
        <v>0</v>
      </c>
      <c r="AK13" s="934">
        <f t="shared" si="1"/>
        <v>0</v>
      </c>
      <c r="AL13" s="934">
        <f t="shared" si="1"/>
        <v>311</v>
      </c>
      <c r="AM13" s="934">
        <f t="shared" si="1"/>
        <v>820</v>
      </c>
      <c r="AN13" s="934">
        <f t="shared" si="1"/>
        <v>0</v>
      </c>
      <c r="AO13" s="934">
        <f t="shared" si="1"/>
        <v>0</v>
      </c>
      <c r="AP13" s="939">
        <f>IF(ISNUMBER(((Datos!L13/Datos!K13)*11)/factor_trimestre),((Datos!L13/Datos!K13)*11)/factor_trimestre," - ")</f>
        <v>15.226487523992322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-0.22429906542056074</v>
      </c>
      <c r="AU13" s="934" t="str">
        <f>IF(ISNUMBER((DatosP!#REF!-DatosP!#REF!+DatosP!#REF!)/(DatosP!#REF!+DatosP!#REF!-DatosP!#REF!-DatosP!#REF!)),(DatosP!#REF!-DatosP!#REF!+DatosP!#REF!)/(DatosP!#REF!+DatosP!#REF!-DatosP!#REF!-DatosP!#REF!)," - ")</f>
        <v xml:space="preserve"> - </v>
      </c>
      <c r="AV13" s="940">
        <f>SUBTOTAL(9,AV9:AV12)</f>
        <v>1.5565729234793983E-2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6.3354632587859427</v>
      </c>
      <c r="AQ19" s="939">
        <f>IF(ISNUMBER(((Datos!M19/Datos!L19)*11)/factor_trimestre),((Datos!M19/Datos!L19)*11)/factor_trimestre," - ")</f>
        <v>0.15941754916792739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6.0606060606060608E-2</v>
      </c>
      <c r="AW19" s="941">
        <f>IF(ISNUMBER((Datos!Q19-Datos!R19)/(Datos!S19-Datos!Q19+Datos!R19)),(Datos!Q19-Datos!R19)/(Datos!S19-Datos!Q19+Datos!R19)," - ")</f>
        <v>-0.10971860960037834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107</v>
      </c>
      <c r="G20" s="946">
        <f t="shared" si="4"/>
        <v>107</v>
      </c>
      <c r="H20" s="946">
        <f t="shared" si="4"/>
        <v>0</v>
      </c>
      <c r="I20" s="947">
        <f t="shared" si="4"/>
        <v>0</v>
      </c>
      <c r="J20" s="948">
        <f t="shared" si="4"/>
        <v>0</v>
      </c>
      <c r="K20" s="948">
        <f t="shared" si="4"/>
        <v>0</v>
      </c>
      <c r="L20" s="948">
        <f t="shared" si="4"/>
        <v>0</v>
      </c>
      <c r="M20" s="948">
        <f t="shared" si="4"/>
        <v>0</v>
      </c>
      <c r="N20" s="947">
        <f t="shared" si="4"/>
        <v>477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24</v>
      </c>
      <c r="AC20" s="952">
        <f t="shared" si="5"/>
        <v>0</v>
      </c>
      <c r="AD20" s="952">
        <f t="shared" si="5"/>
        <v>354</v>
      </c>
      <c r="AE20" s="952">
        <f t="shared" si="5"/>
        <v>0</v>
      </c>
      <c r="AF20" s="953">
        <f t="shared" si="5"/>
        <v>104</v>
      </c>
      <c r="AG20" s="953">
        <f t="shared" si="5"/>
        <v>0</v>
      </c>
      <c r="AH20" s="953">
        <f t="shared" si="5"/>
        <v>7764</v>
      </c>
      <c r="AI20" s="953">
        <f t="shared" si="5"/>
        <v>0</v>
      </c>
      <c r="AJ20" s="954">
        <f t="shared" si="5"/>
        <v>0</v>
      </c>
      <c r="AK20" s="954">
        <f t="shared" si="5"/>
        <v>0</v>
      </c>
      <c r="AL20" s="946">
        <f t="shared" si="5"/>
        <v>311</v>
      </c>
      <c r="AM20" s="946">
        <f t="shared" si="5"/>
        <v>820</v>
      </c>
      <c r="AN20" s="946">
        <f t="shared" si="5"/>
        <v>0</v>
      </c>
      <c r="AO20" s="946">
        <f t="shared" si="5"/>
        <v>0</v>
      </c>
      <c r="AP20" s="946">
        <f>IF(ISNUMBER(((Datos!L20/Datos!K20)*11)/factor_trimestre),((Datos!L20/Datos!K20)*11)/factor_trimestre," - ")</f>
        <v>9.7523973444799612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-0.22429906542056074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1.8192993239090349E-2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71.333333333333329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3.614784456460256</v>
      </c>
      <c r="F22" s="733">
        <f>IF(ISNUMBER(STDEV(F8:F19)),STDEV(F8:F19),"-")</f>
        <v>61.776478803289955</v>
      </c>
      <c r="G22" s="734">
        <f>IF(ISNUMBER(STDEV(G8:G19)),STDEV(G8:G19),"-")</f>
        <v>61.776478803289955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13.856406460551018</v>
      </c>
      <c r="AC22" s="735">
        <f>IF(ISNUMBER(STDEV(AC8:AC19)),STDEV(AC8:AC19),"-")</f>
        <v>0</v>
      </c>
      <c r="AD22" s="738"/>
      <c r="AE22" s="738"/>
      <c r="AF22" s="738"/>
      <c r="AG22" s="738"/>
      <c r="AH22" s="738"/>
      <c r="AI22" s="738"/>
      <c r="AJ22" s="739">
        <f>IF(ISNUMBER(STDEV(AJ8:AJ19)),STDEV(AJ8:AJ19),"-")</f>
        <v>0</v>
      </c>
      <c r="AK22" s="741"/>
      <c r="AL22" s="733">
        <f>IF(ISNUMBER(STDEV(AL8:AL19)),STDEV(AL8:AL19),"-")</f>
        <v>178.40497003540381</v>
      </c>
      <c r="AM22" s="733"/>
      <c r="AN22" s="733">
        <f>IF(ISNUMBER(STDEV(AN8:AN19)),STDEV(AN8:AN19),"-")</f>
        <v>0</v>
      </c>
      <c r="AO22" s="739">
        <f>IF(ISNUMBER(STDEV(AO8:AO19)),STDEV(AO8:AO19),"-")</f>
        <v>0</v>
      </c>
      <c r="AP22" s="776">
        <f>IF(ISNUMBER(STDEV(AP8:AP19)),STDEV(AP8:AP19),"-")</f>
        <v>4.0301821434163383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vcQmZDb9qW+b8uD9AFryRYdRREwGefypH/GivPdDTVbvFlARMhr/YqFlNoHNKN89I3c3IvlJZeqMzgPk1iOcAw==" saltValue="MlvZdQ8tN7H6/yyBJz5Zg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REGION DE MURCIA</v>
      </c>
    </row>
    <row r="2" spans="1:168" ht="16.5" customHeight="1">
      <c r="C2" s="487" t="str">
        <f>Criterios!A10 &amp;"  "&amp;Criterios!B10 &amp; "  " &amp; IF(NOT(ISBLANK(Criterios!A11)),Criterios!A11 &amp;"  "&amp;Criterios!B11,"")</f>
        <v>Provincias  MURCIA  Resumenes por Partidos Judiciales  SAN JAVIER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885.98494033388101</v>
      </c>
      <c r="CF9" s="228">
        <f ca="1">AVERAGEIFS($AB:$AB,$BW:$BW,BW9,$BX:$BX,BX9)</f>
        <v>885.98494033388101</v>
      </c>
      <c r="CG9" s="1191">
        <v>0.7</v>
      </c>
      <c r="CH9" s="1191">
        <f ca="1">AVERAGEIF($BW:$BW,$BW9,$AC:$AC)</f>
        <v>114.9</v>
      </c>
      <c r="CI9" s="228">
        <f ca="1">AVERAGEIFS($AC:$AC,$BW:$BW,$BW9,$BX:$BX,$BX9)</f>
        <v>114.9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1797.3333333333333</v>
      </c>
      <c r="CR9" s="228">
        <f ca="1">AVERAGEIFS($AF:$AF,$BW:$BW,BW9,$BX:$BX,BX9)</f>
        <v>1797.3333333333333</v>
      </c>
      <c r="CS9" s="1191">
        <v>1.3</v>
      </c>
      <c r="CT9" s="1191">
        <v>1.5</v>
      </c>
      <c r="CU9" s="1191">
        <f ca="1">AVERAGEIF($BW:$BW,$BW9,$AH:$AH)</f>
        <v>100.28571428571429</v>
      </c>
      <c r="CV9" s="228">
        <f ca="1">AVERAGEIFS($AH:$AH,$BW:$BW,$BW9,$BX:$BX,$BX9)</f>
        <v>100.28571428571429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2484.9</v>
      </c>
      <c r="DH9" s="228">
        <f ca="1">AVERAGEIFS($AM:$AM,$BW:$BW,$BW9,$BX:$BX,$BX9)</f>
        <v>2484.9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6.7961782289379924</v>
      </c>
      <c r="ER9" s="228">
        <f ca="1">AVERAGEIFS($BH:$BH,$BW:$BW,$BW9,$BX:$BX,$BX9)</f>
        <v>6.7961782289379924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107</v>
      </c>
      <c r="G10" s="332">
        <f>IF(ISNUMBER(Datos!I10),Datos!I10," - ")</f>
        <v>107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4</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24</v>
      </c>
      <c r="AC10" s="224">
        <f>IF(ISNUMBER(Datos!Q10),Datos!Q10," - ")</f>
        <v>3</v>
      </c>
      <c r="AD10" s="224"/>
      <c r="AE10" s="224"/>
      <c r="AF10" s="224">
        <f>IF(ISNUMBER(Datos!L10),Datos!L10,"-")</f>
        <v>104</v>
      </c>
      <c r="AG10" s="333"/>
      <c r="AH10" s="224"/>
      <c r="AI10" s="224"/>
      <c r="AJ10" s="224"/>
      <c r="AK10" s="333"/>
      <c r="AL10" s="478"/>
      <c r="AM10" s="224">
        <f>IF(ISNUMBER(Datos!R10),Datos!R10," - ")</f>
        <v>29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8</v>
      </c>
      <c r="BE10" s="224" t="str">
        <f>IF(ISNUMBER(Datos!BW10),Datos!BW10," - ")</f>
        <v xml:space="preserve"> - </v>
      </c>
      <c r="BF10" s="224" t="str">
        <f>IF(ISNUMBER(Datos!BX10),Datos!BX10," - ")</f>
        <v xml:space="preserve"> - </v>
      </c>
      <c r="BG10" s="242">
        <f>IF(ISNUMBER(Datos!K10/Datos!J10),Datos!K10/Datos!J10," - ")</f>
        <v>1.1428571428571428</v>
      </c>
      <c r="BH10" s="224">
        <f>IF(ISNUMBER(((Datos!L10/Datos!K10)*11)/factor_trimestre),((Datos!L10/Datos!K10)*11)/factor_trimestre," - ")</f>
        <v>13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3.5714285714285712E-2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885.98494033388101</v>
      </c>
      <c r="CF10" s="228">
        <f ca="1">AVERAGEIFS($AB:$AB,$BW:$BW,BW10,$BX:$BX,BX10)</f>
        <v>885.98494033388101</v>
      </c>
      <c r="CG10" s="1191">
        <v>0.7</v>
      </c>
      <c r="CH10" s="1191">
        <f ca="1">AVERAGEIF($BW:$BW,BW10,$AC:$AC)</f>
        <v>114.9</v>
      </c>
      <c r="CI10" s="228">
        <f ca="1">AVERAGEIFS($AC:$AC,$BW:$BW,BW10,$BX:$BX,BX10)</f>
        <v>114.9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1797.3333333333333</v>
      </c>
      <c r="CR10" s="228">
        <f ca="1">AVERAGEIFS($AF:$AF,$BW:$BW,BW10,$BX:$BX,BX10)</f>
        <v>1797.3333333333333</v>
      </c>
      <c r="CS10" s="1191">
        <v>1.3</v>
      </c>
      <c r="CT10" s="1191">
        <v>1.5</v>
      </c>
      <c r="CU10" s="1191">
        <f ca="1">AVERAGEIF($BW:$BW,$BW10,$AH:$AH)</f>
        <v>100.28571428571429</v>
      </c>
      <c r="CV10" s="228">
        <f ca="1">AVERAGEIFS($AH:$AH,$BW:$BW,$BW10,$BX:$BX,$BX10)</f>
        <v>100.28571428571429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2484.9</v>
      </c>
      <c r="DH10" s="228">
        <f ca="1">AVERAGEIFS($AM:$AM,$BW:$BW,$BW10,$BX:$BX,$BX10)</f>
        <v>2484.9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6.7961782289379924</v>
      </c>
      <c r="ER10" s="228">
        <f ca="1">AVERAGEIFS($BH:$BH,$BW:$BW,$BW10,$BX:$BX,$BX10)</f>
        <v>6.7961782289379924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885.98494033388101</v>
      </c>
      <c r="CF11" s="228">
        <f ca="1">AVERAGEIFS($AB:$AB,$BW:$BW,BW11,$BX:$BX,BX11)</f>
        <v>885.98494033388101</v>
      </c>
      <c r="CG11" s="1191">
        <v>0.7</v>
      </c>
      <c r="CH11" s="1191">
        <f ca="1">AVERAGEIF($BW:$BW,BW11,$AC:$AC)</f>
        <v>114.9</v>
      </c>
      <c r="CI11" s="228">
        <f ca="1">AVERAGEIFS($AC:$AC,$BW:$BW,BW11,$BX:$BX,BX11)</f>
        <v>114.9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1797.3333333333333</v>
      </c>
      <c r="CR11" s="228">
        <f ca="1">AVERAGEIFS($AF:$AF,$BW:$BW,BW11,$BX:$BX,BX11)</f>
        <v>1797.3333333333333</v>
      </c>
      <c r="CS11" s="1191">
        <v>1.3</v>
      </c>
      <c r="CT11" s="1191">
        <v>1.5</v>
      </c>
      <c r="CU11" s="1191">
        <f ca="1">AVERAGEIF($BW:$BW,$BW11,$AH:$AH)</f>
        <v>100.28571428571429</v>
      </c>
      <c r="CV11" s="228">
        <f ca="1">AVERAGEIFS($AH:$AH,$BW:$BW,$BW11,$BX:$BX,$BX11)</f>
        <v>100.28571428571429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2484.9</v>
      </c>
      <c r="DH11" s="228">
        <f ca="1">AVERAGEIFS($AM:$AM,$BW:$BW,$BW11,$BX:$BX,$BX11)</f>
        <v>2484.9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6.7961782289379924</v>
      </c>
      <c r="ER11" s="228">
        <f ca="1">AVERAGEIFS($BH:$BH,$BW:$BW,$BW11,$BX:$BX,$BX11)</f>
        <v>6.7961782289379924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473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234</v>
      </c>
      <c r="AI12" s="224" t="str">
        <f>IF(ISNUMBER(Datos!CD12),Datos!CD12,"-")</f>
        <v>-</v>
      </c>
      <c r="AJ12" s="224" t="str">
        <f>IF(ISNUMBER(Datos!EN12),Datos!EN12," - ")</f>
        <v xml:space="preserve"> - </v>
      </c>
      <c r="AK12" s="333"/>
      <c r="AL12" s="478"/>
      <c r="AM12" s="224">
        <f>IF(ISNUMBER(Datos!R12),Datos!R12," - ")</f>
        <v>7764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309</v>
      </c>
      <c r="BD12" s="228">
        <f>IF(ISNUMBER(Datos!N12),Datos!N12," - ")</f>
        <v>812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0.98311007571345366</v>
      </c>
      <c r="BH12" s="224">
        <f>IF(ISNUMBER(((IF(J_V="SI",Datos!L12/Datos!K12,(Datos!L12+Datos!AB12)/(Datos!K12+Datos!AA12)))*11)/factor_trimestre),((IF(J_V="SI",Datos!L12/Datos!K12,(Datos!L12+Datos!AB12)/(Datos!K12+Datos!AA12)))*11)/factor_trimestre," - ")</f>
        <v>14.329976303317537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1.5565729234793983E-2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885.98494033388101</v>
      </c>
      <c r="CF12" s="228">
        <f ca="1">AVERAGEIFS($AB:$AB,$BW:$BW,BW12,$BX:$BX,BX12)</f>
        <v>885.98494033388101</v>
      </c>
      <c r="CG12" s="1191">
        <v>0.7</v>
      </c>
      <c r="CH12" s="1191">
        <f ca="1">AVERAGEIF($BW:$BW,BW12,$AC:$AC)</f>
        <v>114.9</v>
      </c>
      <c r="CI12" s="228">
        <f ca="1">AVERAGEIFS($AC:$AC,$BW:$BW,BW12,$BX:$BX,BX12)</f>
        <v>114.9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1797.3333333333333</v>
      </c>
      <c r="CR12" s="228">
        <f ca="1">AVERAGEIFS($AF:$AF,$BW:$BW,BW12,$BX:$BX,BX12)</f>
        <v>1797.3333333333333</v>
      </c>
      <c r="CS12" s="1191">
        <v>1.3</v>
      </c>
      <c r="CT12" s="1191">
        <v>1.5</v>
      </c>
      <c r="CU12" s="1191">
        <f ca="1">AVERAGEIF($BW:$BW,$BW12,$AH:$AH)</f>
        <v>100.28571428571429</v>
      </c>
      <c r="CV12" s="228">
        <f ca="1">AVERAGEIFS($AH:$AH,$BW:$BW,$BW12,$BX:$BX,$BX12)</f>
        <v>100.28571428571429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2484.9</v>
      </c>
      <c r="DH12" s="228">
        <f ca="1">AVERAGEIFS($AM:$AM,$BW:$BW,$BW12,$BX:$BX,$BX12)</f>
        <v>2484.9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6.7961782289379924</v>
      </c>
      <c r="ER12" s="228">
        <f ca="1">AVERAGEIFS($BH:$BH,$BW:$BW,$BW12,$BX:$BX,$BX12)</f>
        <v>6.7961782289379924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107</v>
      </c>
      <c r="G13" s="895">
        <f t="shared" si="1"/>
        <v>107</v>
      </c>
      <c r="H13" s="896">
        <f t="shared" si="1"/>
        <v>0</v>
      </c>
      <c r="I13" s="895">
        <f t="shared" si="1"/>
        <v>0</v>
      </c>
      <c r="J13" s="864">
        <f t="shared" si="1"/>
        <v>0</v>
      </c>
      <c r="K13" s="864">
        <f t="shared" si="1"/>
        <v>0</v>
      </c>
      <c r="L13" s="896">
        <f t="shared" si="1"/>
        <v>0</v>
      </c>
      <c r="M13" s="896">
        <f t="shared" si="1"/>
        <v>0</v>
      </c>
      <c r="N13" s="896">
        <f t="shared" si="1"/>
        <v>111</v>
      </c>
      <c r="O13" s="897">
        <f t="shared" si="1"/>
        <v>0</v>
      </c>
      <c r="P13" s="897">
        <f t="shared" si="1"/>
        <v>0</v>
      </c>
      <c r="Q13" s="896">
        <f t="shared" si="1"/>
        <v>477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24</v>
      </c>
      <c r="AC13" s="896">
        <f t="shared" si="2"/>
        <v>357</v>
      </c>
      <c r="AD13" s="896">
        <f t="shared" si="2"/>
        <v>0</v>
      </c>
      <c r="AE13" s="896">
        <f t="shared" si="2"/>
        <v>0</v>
      </c>
      <c r="AF13" s="896">
        <f t="shared" si="2"/>
        <v>104</v>
      </c>
      <c r="AG13" s="896">
        <f t="shared" si="2"/>
        <v>0</v>
      </c>
      <c r="AH13" s="896">
        <f t="shared" si="2"/>
        <v>234</v>
      </c>
      <c r="AI13" s="896">
        <f t="shared" si="2"/>
        <v>0</v>
      </c>
      <c r="AJ13" s="896">
        <f t="shared" si="2"/>
        <v>0</v>
      </c>
      <c r="AK13" s="896">
        <f t="shared" si="2"/>
        <v>0</v>
      </c>
      <c r="AL13" s="896">
        <f t="shared" si="2"/>
        <v>0</v>
      </c>
      <c r="AM13" s="896">
        <f t="shared" si="2"/>
        <v>7793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311</v>
      </c>
      <c r="BD13" s="896">
        <f t="shared" si="2"/>
        <v>820</v>
      </c>
      <c r="BE13" s="896">
        <f t="shared" si="2"/>
        <v>0</v>
      </c>
      <c r="BF13" s="896">
        <f t="shared" si="2"/>
        <v>0</v>
      </c>
      <c r="BG13" s="896">
        <f>IF(ISNUMBER(Datos!K13/Datos!J13),Datos!K13/Datos!J13," - ")</f>
        <v>0.96066379840196681</v>
      </c>
      <c r="BH13" s="900">
        <f>IF(ISNUMBER(((Datos!L13/Datos!K13)*11)/factor_trimestre),((Datos!L13/Datos!K13)*11)/factor_trimestre," - ")</f>
        <v>15.226487523992322</v>
      </c>
      <c r="BI13" s="896">
        <f>IF(ISNUMBER('Resol  Asuntos'!D13/NºAsuntos!G13),'Resol  Asuntos'!D13/NºAsuntos!G13," - ")</f>
        <v>0.18165887850467291</v>
      </c>
      <c r="BJ13" s="896" t="str">
        <f>IF(ISNUMBER(Datos!CI13/Datos!CJ13),Datos!CI13/Datos!CJ13," - ")</f>
        <v xml:space="preserve"> - </v>
      </c>
      <c r="BK13" s="896">
        <f>SUBTOTAL(9,BK8:BK12)</f>
        <v>0</v>
      </c>
      <c r="BL13" s="896">
        <f>IF(ISNUMBER((I13-AB13+L13)/(F13)),(I13-AB13+L13)/(F13)," - ")</f>
        <v>-0.22429906542056074</v>
      </c>
      <c r="BM13" s="901">
        <f>SUBTOTAL(9,BM9:BM12)</f>
        <v>5.1280014949079696E-2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885.98494033388101</v>
      </c>
      <c r="CF15" s="228">
        <f ca="1">AVERAGEIFS($AB:$AB,$BW:$BW,BW15,$BX:$BX,BX15)</f>
        <v>885.98494033388101</v>
      </c>
      <c r="CG15" s="1191">
        <v>0.7</v>
      </c>
      <c r="CH15" s="1191">
        <f ca="1">AVERAGEIF($BW:$BW,BW15,$AC:$AC)</f>
        <v>114.9</v>
      </c>
      <c r="CI15" s="228">
        <f ca="1">AVERAGEIFS($AC:$AC,$BW:$BW,BW15,$BX:$BX,BX15)</f>
        <v>114.9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1797.3333333333333</v>
      </c>
      <c r="CR15" s="228">
        <f ca="1">AVERAGEIFS($AF:$AF,$BW:$BW,BW15,$BX:$BX,BX15)</f>
        <v>1797.3333333333333</v>
      </c>
      <c r="CS15" s="1191">
        <v>1.3</v>
      </c>
      <c r="CT15" s="1191">
        <v>1.5</v>
      </c>
      <c r="CU15" s="1191">
        <f ca="1">AVERAGEIF($BW:$BW,$BW15,$AH:$AH)</f>
        <v>100.28571428571429</v>
      </c>
      <c r="CV15" s="228">
        <f ca="1">AVERAGEIFS($AH:$AH,$BW:$BW,$BW15,$BX:$BX,$BX15)</f>
        <v>100.28571428571429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2484.9</v>
      </c>
      <c r="DH15" s="228">
        <f ca="1">AVERAGEIFS($AM:$AM,$BW:$BW,$BW15,$BX:$BX,$BX15)</f>
        <v>2484.9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6.7961782289379924</v>
      </c>
      <c r="ER15" s="228">
        <f ca="1">AVERAGEIFS($BH:$BH,$BW:$BW,$BW15,$BX:$BX,$BX15)</f>
        <v>6.7961782289379924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885.98494033388101</v>
      </c>
      <c r="CF16" s="228">
        <f ca="1">AVERAGEIFS($AB:$AB,$BW:$BW,BW16,$BX:$BX,BX16)</f>
        <v>885.98494033388101</v>
      </c>
      <c r="CG16" s="1191">
        <v>0.7</v>
      </c>
      <c r="CH16" s="1191">
        <f ca="1">AVERAGEIF($BW:$BW,BW16,$AC:$AC)</f>
        <v>114.9</v>
      </c>
      <c r="CI16" s="228">
        <f ca="1">AVERAGEIFS($AC:$AC,$BW:$BW,BW16,$BX:$BX,BX16)</f>
        <v>114.9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1797.3333333333333</v>
      </c>
      <c r="CR16" s="228">
        <f ca="1">AVERAGEIFS($AF:$AF,$BW:$BW,BW16,$BX:$BX,BX16)</f>
        <v>1797.3333333333333</v>
      </c>
      <c r="CS16" s="1191">
        <v>1.3</v>
      </c>
      <c r="CT16" s="1191">
        <v>1.5</v>
      </c>
      <c r="CU16" s="1191">
        <f ca="1">AVERAGEIF($BW:$BW,$BW16,$AH:$AH)</f>
        <v>100.28571428571429</v>
      </c>
      <c r="CV16" s="228">
        <f ca="1">AVERAGEIFS($AH:$AH,$BW:$BW,$BW16,$BX:$BX,$BX16)</f>
        <v>100.28571428571429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2484.9</v>
      </c>
      <c r="DH16" s="228">
        <f ca="1">AVERAGEIFS($AM:$AM,$BW:$BW,$BW16,$BX:$BX,$BX16)</f>
        <v>2484.9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6.7961782289379924</v>
      </c>
      <c r="ER16" s="228">
        <f ca="1">AVERAGEIFS($BH:$BH,$BW:$BW,$BW16,$BX:$BX,$BX16)</f>
        <v>6.7961782289379924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4992</v>
      </c>
      <c r="G17" s="596">
        <f>IF(ISNUMBER(IF(D_I="SI",Datos!I17,Datos!I17+Datos!AC17)),IF(D_I="SI",Datos!I17,Datos!I17+Datos!AC17)," - ")</f>
        <v>4943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2305</v>
      </c>
      <c r="AC17" s="224">
        <f>IF(ISNUMBER(Datos!Q17),Datos!Q17," - ")</f>
        <v>22</v>
      </c>
      <c r="AD17" s="224"/>
      <c r="AE17" s="224"/>
      <c r="AF17" s="224">
        <f>IF(ISNUMBER(IF(D_I="SI",Datos!L17,Datos!L17+Datos!AF17)),IF(D_I="SI",Datos!L17,Datos!L17+Datos!AF17)," - ")</f>
        <v>4951</v>
      </c>
      <c r="AG17" s="333"/>
      <c r="AH17" s="224"/>
      <c r="AI17" s="224"/>
      <c r="AJ17" s="224"/>
      <c r="AK17" s="333"/>
      <c r="AL17" s="478"/>
      <c r="AM17" s="224">
        <f>IF(ISNUMBER(Datos!R17),Datos!R17," - ")</f>
        <v>483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202</v>
      </c>
      <c r="BD17" s="228">
        <f>IF(ISNUMBER(Datos!N17),Datos!N17," - ")</f>
        <v>1398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1.0181095406360423</v>
      </c>
      <c r="BH17" s="224">
        <f>IF(ISNUMBER(((IF(D_I="SI",Datos!L17/Datos!K17,(Datos!L17+Datos!AF17)/(Datos!K17+Datos!AE17)))*11)/factor_trimestre),((IF(D_I="SI",Datos!L17/Datos!K17,(Datos!L17+Datos!AF17)/(Datos!K17+Datos!AE17)))*11)/factor_trimestre," - ")</f>
        <v>6.4438177874186557</v>
      </c>
      <c r="BI17" s="242">
        <f>IF(ISNUMBER('Resol  Asuntos'!D17/NºAsuntos!G17),'Resol  Asuntos'!D17/NºAsuntos!G17," - ")</f>
        <v>8.7635574837310201E-2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885.98494033388101</v>
      </c>
      <c r="CF17" s="228">
        <f ca="1">AVERAGEIFS($AB:$AB,$BW:$BW,BW17,$BX:$BX,BX17)</f>
        <v>885.98494033388101</v>
      </c>
      <c r="CG17" s="1191">
        <v>0.7</v>
      </c>
      <c r="CH17" s="1191">
        <f ca="1">AVERAGEIF($BW:$BW,BW17,$AC:$AC)</f>
        <v>114.9</v>
      </c>
      <c r="CI17" s="228">
        <f ca="1">AVERAGEIFS($AC:$AC,$BW:$BW,BW17,$BX:$BX,BX17)</f>
        <v>114.9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1797.3333333333333</v>
      </c>
      <c r="CR17" s="228">
        <f ca="1">AVERAGEIFS($AF:$AF,$BW:$BW,BW17,$BX:$BX,BX17)</f>
        <v>1797.3333333333333</v>
      </c>
      <c r="CS17" s="1191">
        <v>1.3</v>
      </c>
      <c r="CT17" s="1191">
        <v>1.5</v>
      </c>
      <c r="CU17" s="1191">
        <f ca="1">AVERAGEIF($BW:$BW,$BW17,$AH:$AH)</f>
        <v>100.28571428571429</v>
      </c>
      <c r="CV17" s="228">
        <f ca="1">AVERAGEIFS($AH:$AH,$BW:$BW,$BW17,$BX:$BX,$BX17)</f>
        <v>100.28571428571429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2484.9</v>
      </c>
      <c r="DH17" s="228">
        <f ca="1">AVERAGEIFS($AM:$AM,$BW:$BW,$BW17,$BX:$BX,$BX17)</f>
        <v>2484.9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6.7961782289379924</v>
      </c>
      <c r="ER17" s="228">
        <f ca="1">AVERAGEIFS($BH:$BH,$BW:$BW,$BW17,$BX:$BX,$BX17)</f>
        <v>6.7961782289379924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366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199</v>
      </c>
      <c r="AC18" s="224">
        <f>IF(ISNUMBER(Datos!Q18),Datos!Q18," - ")</f>
        <v>4</v>
      </c>
      <c r="AD18" s="224"/>
      <c r="AE18" s="224"/>
      <c r="AF18" s="224">
        <f>IF(ISNUMBER(Datos!L18),Datos!L18,"-")</f>
        <v>337</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79</v>
      </c>
      <c r="BD18" s="228">
        <f>IF(ISNUMBER(Datos!N18),Datos!N18," - ")</f>
        <v>102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1.259493670886076</v>
      </c>
      <c r="BH18" s="224">
        <f>IF(ISNUMBER(((IF(D_I="SI",Datos!L18/Datos!K18,(Datos!L18+Datos!AF18)/(Datos!K18+Datos!AE18)))*11)/factor_trimestre),((IF(D_I="SI",Datos!L18/Datos!K18,(Datos!L18+Datos!AF18)/(Datos!K18+Datos!AE18)))*11)/factor_trimestre," - ")</f>
        <v>5.0804020100502516</v>
      </c>
      <c r="BI18" s="242">
        <f>IF(ISNUMBER('Resol  Asuntos'!D18/NºAsuntos!G18),'Resol  Asuntos'!D18/NºAsuntos!G18," - ")</f>
        <v>0.39698492462311558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885.98494033388101</v>
      </c>
      <c r="CF18" s="228">
        <f ca="1">AVERAGEIFS($AB:$AB,$BW:$BW,BW18,$BX:$BX,BX18)</f>
        <v>885.98494033388101</v>
      </c>
      <c r="CG18" s="1191">
        <v>0.7</v>
      </c>
      <c r="CH18" s="1191">
        <f ca="1">AVERAGEIF($BW:$BW,BW18,$AC:$AC)</f>
        <v>114.9</v>
      </c>
      <c r="CI18" s="228">
        <f ca="1">AVERAGEIFS($AC:$AC,$BW:$BW,BW18,$BX:$BX,BX18)</f>
        <v>114.9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1797.3333333333333</v>
      </c>
      <c r="CR18" s="228">
        <f ca="1">AVERAGEIFS($AF:$AF,$BW:$BW,BW18,$BX:$BX,BX18)</f>
        <v>1797.3333333333333</v>
      </c>
      <c r="CS18" s="1191">
        <v>1.3</v>
      </c>
      <c r="CT18" s="1191">
        <v>1.5</v>
      </c>
      <c r="CU18" s="1191">
        <f ca="1">AVERAGEIF($BW:$BW,$BW18,$AH:$AH)</f>
        <v>100.28571428571429</v>
      </c>
      <c r="CV18" s="228">
        <f ca="1">AVERAGEIFS($AH:$AH,$BW:$BW,$BW18,$BX:$BX,$BX18)</f>
        <v>100.28571428571429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2484.9</v>
      </c>
      <c r="DH18" s="228">
        <f ca="1">AVERAGEIFS($AM:$AM,$BW:$BW,$BW18,$BX:$BX,$BX18)</f>
        <v>2484.9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6.7961782289379924</v>
      </c>
      <c r="ER18" s="228">
        <f ca="1">AVERAGEIFS($BH:$BH,$BW:$BW,$BW18,$BX:$BX,$BX18)</f>
        <v>6.7961782289379924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4992</v>
      </c>
      <c r="G19" s="895">
        <f>SUBTOTAL(9,G15:G18)</f>
        <v>5309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2504</v>
      </c>
      <c r="AC19" s="896">
        <f t="shared" si="5"/>
        <v>26</v>
      </c>
      <c r="AD19" s="896">
        <f t="shared" si="5"/>
        <v>0</v>
      </c>
      <c r="AE19" s="896">
        <f t="shared" si="5"/>
        <v>0</v>
      </c>
      <c r="AF19" s="896">
        <f t="shared" si="5"/>
        <v>5288</v>
      </c>
      <c r="AG19" s="896">
        <f t="shared" si="5"/>
        <v>0</v>
      </c>
      <c r="AH19" s="896">
        <f t="shared" si="5"/>
        <v>0</v>
      </c>
      <c r="AI19" s="896">
        <f t="shared" si="5"/>
        <v>0</v>
      </c>
      <c r="AJ19" s="896">
        <f t="shared" si="5"/>
        <v>0</v>
      </c>
      <c r="AK19" s="896">
        <f t="shared" si="5"/>
        <v>0</v>
      </c>
      <c r="AL19" s="896">
        <f t="shared" si="5"/>
        <v>0</v>
      </c>
      <c r="AM19" s="896">
        <f t="shared" si="5"/>
        <v>490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281</v>
      </c>
      <c r="BD19" s="896">
        <f t="shared" si="5"/>
        <v>1500</v>
      </c>
      <c r="BE19" s="896">
        <f t="shared" si="5"/>
        <v>0</v>
      </c>
      <c r="BF19" s="896">
        <f t="shared" si="5"/>
        <v>0</v>
      </c>
      <c r="BG19" s="896">
        <f>IF(ISNUMBER(Datos!K19/Datos!J19),Datos!K19/Datos!J19," - ")</f>
        <v>1.0338563170933113</v>
      </c>
      <c r="BH19" s="900">
        <f>IF(ISNUMBER(((Datos!L19/Datos!K19)*11)/factor_trimestre),((Datos!L19/Datos!K19)*11)/factor_trimestre," - ")</f>
        <v>6.3354632587859427</v>
      </c>
      <c r="BI19" s="896">
        <f>SUBTOTAL(9,BI15:BI18)</f>
        <v>0.48462049946042579</v>
      </c>
      <c r="BJ19" s="896">
        <f>SUBTOTAL(9,BJ15:BJ18)</f>
        <v>0</v>
      </c>
      <c r="BK19" s="896">
        <f>SUBTOTAL(9,BK15:BK18)</f>
        <v>0</v>
      </c>
      <c r="BL19" s="896">
        <f>IF(ISNUMBER((I19-AB19+L19)/(F19)),(I19-AB19+L19)/(F19)," - ")</f>
        <v>-0.5016025641025641</v>
      </c>
      <c r="BM19" s="902">
        <f>IF(ISNUMBER((Datos!P19-Datos!Q19)/(Datos!R19-Datos!P19+Datos!Q19)),(Datos!P19-Datos!Q19)/(Datos!R19-Datos!P19+Datos!Q19)," - ")</f>
        <v>6.0606060606060608E-2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5099</v>
      </c>
      <c r="G20" s="817">
        <f t="shared" si="7"/>
        <v>5416</v>
      </c>
      <c r="H20" s="819">
        <f t="shared" si="7"/>
        <v>0</v>
      </c>
      <c r="I20" s="817">
        <f t="shared" si="7"/>
        <v>0</v>
      </c>
      <c r="J20" s="819">
        <f t="shared" si="7"/>
        <v>0</v>
      </c>
      <c r="K20" s="819">
        <f t="shared" si="7"/>
        <v>0</v>
      </c>
      <c r="L20" s="878">
        <f t="shared" si="7"/>
        <v>0</v>
      </c>
      <c r="M20" s="878">
        <f t="shared" si="7"/>
        <v>0</v>
      </c>
      <c r="N20" s="878">
        <f t="shared" si="7"/>
        <v>111</v>
      </c>
      <c r="O20" s="878">
        <f t="shared" si="7"/>
        <v>0</v>
      </c>
      <c r="P20" s="878">
        <f t="shared" si="7"/>
        <v>0</v>
      </c>
      <c r="Q20" s="819">
        <f t="shared" si="7"/>
        <v>531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2528</v>
      </c>
      <c r="AC20" s="818">
        <f t="shared" si="8"/>
        <v>383</v>
      </c>
      <c r="AD20" s="818">
        <f t="shared" si="8"/>
        <v>0</v>
      </c>
      <c r="AE20" s="818">
        <f t="shared" si="8"/>
        <v>0</v>
      </c>
      <c r="AF20" s="825">
        <f t="shared" si="8"/>
        <v>5392</v>
      </c>
      <c r="AG20" s="825">
        <f t="shared" si="8"/>
        <v>0</v>
      </c>
      <c r="AH20" s="825">
        <f t="shared" si="8"/>
        <v>234</v>
      </c>
      <c r="AI20" s="825">
        <f t="shared" si="8"/>
        <v>0</v>
      </c>
      <c r="AJ20" s="818">
        <f t="shared" si="8"/>
        <v>0</v>
      </c>
      <c r="AK20" s="825">
        <f t="shared" si="8"/>
        <v>0</v>
      </c>
      <c r="AL20" s="825">
        <f t="shared" si="8"/>
        <v>0</v>
      </c>
      <c r="AM20" s="825">
        <f t="shared" si="8"/>
        <v>8283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592</v>
      </c>
      <c r="BD20" s="817">
        <f t="shared" si="8"/>
        <v>2320</v>
      </c>
      <c r="BE20" s="817">
        <f t="shared" si="8"/>
        <v>0</v>
      </c>
      <c r="BF20" s="827">
        <f t="shared" si="8"/>
        <v>0</v>
      </c>
      <c r="BG20" s="912">
        <f>IF(ISNUMBER(Datos!K20/Datos!J20),Datos!K20/Datos!J20," - ")</f>
        <v>1.0044455421091627</v>
      </c>
      <c r="BH20" s="912">
        <f>IF(ISNUMBER(((Datos!L20/Datos!K20)*11)/factor_trimestre),((Datos!L20/Datos!K20)*11)/factor_trimestre," - ")</f>
        <v>9.7523973444799612</v>
      </c>
      <c r="BI20" s="810">
        <f>IF(ISNUMBER(Datos!J20/Datos!I20),Datos!J20/Datos!I20," - ")</f>
        <v>0.30725451510092577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-0.4957834869582271</v>
      </c>
      <c r="BM20" s="886">
        <f>IF(ISNUMBER((Datos!P20-Datos!Q20+R20)/(Datos!R20-Datos!P20+Datos!Q20-R20)),(Datos!P20-Datos!Q20+R20)/(Datos!R20-Datos!P20+Datos!Q20-R20)," - ")</f>
        <v>1.8192993239090349E-2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2166.4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3.6147844564602556</v>
      </c>
      <c r="F22" s="550">
        <f>IF(ISNUMBER(STDEV(F8:F19)),STDEV(F8:F19),"-")</f>
        <v>2820.356064991322</v>
      </c>
      <c r="G22" s="551">
        <f>IF(ISNUMBER(STDEV(G8:G19)),STDEV(G8:G19),"-")</f>
        <v>2706.8957866899864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1275.849403338811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130.05332239764837</v>
      </c>
      <c r="BD22" s="550"/>
      <c r="BE22" s="550">
        <f>IF(ISNUMBER(STDEV(BE8:BE19)),STDEV(BE8:BE19),"-")</f>
        <v>0</v>
      </c>
      <c r="BF22" s="555">
        <f>IF(ISNUMBER(STDEV(BF8:BF19)),STDEV(BF8:BF19),"-")</f>
        <v>0</v>
      </c>
      <c r="BG22" s="772">
        <f>IF(ISNUMBER(STDEV(BG8:BG19)),STDEV(BG8:BG19),"-")</f>
        <v>0.11370071244152397</v>
      </c>
      <c r="BH22" s="773">
        <f>IF(ISNUMBER(STDEV(BH8:BH19)),STDEV(BH8:BH19),"-")</f>
        <v>4.5894162902732543</v>
      </c>
      <c r="BI22" s="248">
        <f>IF(ISNUMBER(STDEV(BI8:BI19)),STDEV(BI8:BI19),"-")</f>
        <v>0.18438308764400713</v>
      </c>
      <c r="BJ22" s="986" t="str">
        <f>IF(ISNUMBER(BL22/BM22),BL22/BM22," - ")</f>
        <v xml:space="preserve"> - </v>
      </c>
      <c r="BK22" s="574"/>
      <c r="BL22" s="558">
        <f>IF(ISNUMBER(STDEV(BL8:BL19)),STDEV(BL8:BL19),"-")</f>
        <v>0.19608318436479927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d8wDIzftXMqejT5ryUOfeY3lJQmps4VgkQmLs+P4escujjJ9jvDQ/WVxVxRLjH0Gx/LkNbUkTSIxp8EOqYKEg==" saltValue="S56ziY/TduvVeklQs45H/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REGION DE MURCIA</v>
      </c>
    </row>
    <row r="2" spans="1:146" ht="16.5" customHeight="1">
      <c r="C2" s="487" t="str">
        <f>Criterios!A10 &amp;"  "&amp;Criterios!B10 &amp; "  " &amp; IF(NOT(ISBLANK(Criterios!A11)),Criterios!A11 &amp;"  "&amp;Criterios!B11,"")</f>
        <v>Provincias  MURCIA  Resumenes por Partidos Judiciales  SAN JAVIER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0.18165887850467291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0.12845222485339736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rVm6SJEmURuy5jySIFHprZOsxSixl9eQSRez1k0Yb8DEtLsTOXQFsQc561isHRHVZIFG/+YT/x+EuYVtH2a6rg==" saltValue="NssMiVH/9g5ch9yXE90oD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REGION DE MURCIA</v>
      </c>
      <c r="B4" s="787" t="str">
        <f>IF(Criterios!B10=0,"",Criterios!B10)</f>
        <v>MURCIA</v>
      </c>
      <c r="C4" s="787" t="str">
        <f>IF(Criterios!B11=0,"",Criterios!B11)</f>
        <v>SAN JAVIER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w5exhyk0/7VG7w8OiLTCAHX7AsFGNLg2Aq20QiLX31+TL3ZR0iVuLfNJKguaM3iBotl/1Qpm2+wj1v3D6rOxg==" saltValue="2TCs4CMim3Qs+JiENRDnX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